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45" activeTab="0"/>
  </bookViews>
  <sheets>
    <sheet name="потоки" sheetId="1" r:id="rId1"/>
    <sheet name="ТЭЦ-эфф с паром" sheetId="2" state="hidden" r:id="rId2"/>
  </sheets>
  <definedNames>
    <definedName name="Lang" localSheetId="0">'потоки'!$B$317</definedName>
    <definedName name="Lang" localSheetId="1">'ТЭЦ-эфф с паром'!$B$333</definedName>
    <definedName name="Lang">#REF!</definedName>
    <definedName name="LastPI" localSheetId="0">'потоки'!$M$316</definedName>
    <definedName name="LastPI" localSheetId="1">'ТЭЦ-эфф с паром'!$M$332</definedName>
    <definedName name="LastPI">#REF!</definedName>
    <definedName name="npi" localSheetId="0">'потоки'!$C$316:$N$316</definedName>
    <definedName name="npi" localSheetId="1">'ТЭЦ-эфф с паром'!$C$332:$N$332</definedName>
    <definedName name="npi">#REF!</definedName>
    <definedName name="PI" localSheetId="0">'потоки'!#REF!</definedName>
    <definedName name="PI" localSheetId="1">'ТЭЦ-эфф с паром'!#REF!</definedName>
    <definedName name="PI">#REF!</definedName>
    <definedName name="vat2" localSheetId="0">'потоки'!$B$36</definedName>
    <definedName name="vat2" localSheetId="1">'ТЭЦ-эфф с паром'!$B$54</definedName>
    <definedName name="vat2">#REF!</definedName>
  </definedNames>
  <calcPr calcMode="autoNoTable" fullCalcOnLoad="1"/>
</workbook>
</file>

<file path=xl/sharedStrings.xml><?xml version="1.0" encoding="utf-8"?>
<sst xmlns="http://schemas.openxmlformats.org/spreadsheetml/2006/main" count="309" uniqueCount="118">
  <si>
    <t xml:space="preserve"> </t>
  </si>
  <si>
    <t>Выручка от реализации</t>
  </si>
  <si>
    <t>Вложение собственных средств</t>
  </si>
  <si>
    <t>= Приток денежных средств</t>
  </si>
  <si>
    <t>Прибыль</t>
  </si>
  <si>
    <t>= Отток денежных средств</t>
  </si>
  <si>
    <t>= Поток денежных средств</t>
  </si>
  <si>
    <t>= То же, нарастающим итогом</t>
  </si>
  <si>
    <t>Привлечение  кредитов</t>
  </si>
  <si>
    <t>Возврат кредитов</t>
  </si>
  <si>
    <t xml:space="preserve">Чистый поток денежных средств </t>
  </si>
  <si>
    <t>То же, нарастающим итогом</t>
  </si>
  <si>
    <t>Дисконтированный ЧПДС</t>
  </si>
  <si>
    <t>Простой срок окупаемости, лет</t>
  </si>
  <si>
    <t>Чистый дисконтированный доход (NPV)</t>
  </si>
  <si>
    <t>Доходность инвестиций (NPVR)</t>
  </si>
  <si>
    <t>ПОКАЗАТЕЛИ ЭФФЕКТИВНОСТИ ПРОЕКТА</t>
  </si>
  <si>
    <t>Индекс дисконтирования</t>
  </si>
  <si>
    <t xml:space="preserve">Ставка сравнения </t>
  </si>
  <si>
    <t>ПОТОКИ ПРОЕКТА (предприятие)</t>
  </si>
  <si>
    <t>1 кв</t>
  </si>
  <si>
    <t>2 кв</t>
  </si>
  <si>
    <t xml:space="preserve">3 кв </t>
  </si>
  <si>
    <t>4 кв</t>
  </si>
  <si>
    <t>5 кв</t>
  </si>
  <si>
    <t>6 кв</t>
  </si>
  <si>
    <t>7 кв</t>
  </si>
  <si>
    <t>8 кв</t>
  </si>
  <si>
    <t>9 кв</t>
  </si>
  <si>
    <t>10 кв</t>
  </si>
  <si>
    <t>ОБЪЕМ РЕАЛИЗАЦИИ</t>
  </si>
  <si>
    <t>Объем реализации продукции</t>
  </si>
  <si>
    <t>тонн</t>
  </si>
  <si>
    <t xml:space="preserve">Переменные </t>
  </si>
  <si>
    <t>Потребление энергии</t>
  </si>
  <si>
    <t>МВт.ч</t>
  </si>
  <si>
    <t>ЗАТРАТЫ ЭНЕРГИИ</t>
  </si>
  <si>
    <t>Энергия</t>
  </si>
  <si>
    <t>Прочие…</t>
  </si>
  <si>
    <t>Постоянные</t>
  </si>
  <si>
    <t>Общая величина постоянных затрат, в том числе</t>
  </si>
  <si>
    <t>Амортизационные отчисления</t>
  </si>
  <si>
    <t>ПОТРЕБНОСТЬ В ЧИСТОМ ОБОРОТНОМ КАПИТАЛЕ</t>
  </si>
  <si>
    <t>Запасы сырья и материалов</t>
  </si>
  <si>
    <t>Незавершенное производство</t>
  </si>
  <si>
    <t>Готовая продукция</t>
  </si>
  <si>
    <t>Дебиторская задолженность</t>
  </si>
  <si>
    <t>Авансы поставщикам</t>
  </si>
  <si>
    <t>Кредиторская задолженность</t>
  </si>
  <si>
    <t>Авансы покупателей</t>
  </si>
  <si>
    <t>Расчеты с бюджетом и внебюджетными фондами</t>
  </si>
  <si>
    <t xml:space="preserve"> Расчеты с персоналом</t>
  </si>
  <si>
    <t>Период оборота</t>
  </si>
  <si>
    <t>Доля продукции, отгружаемой по предоплате</t>
  </si>
  <si>
    <t>Доля материалов, приобретаемых по предоплате</t>
  </si>
  <si>
    <t xml:space="preserve"> = Текущие активы</t>
  </si>
  <si>
    <t>= Текущие пассивы</t>
  </si>
  <si>
    <t>= ЧОК</t>
  </si>
  <si>
    <t>Прирост ЧОК</t>
  </si>
  <si>
    <t>КАПИТАЛЬНЫЕ ВЛОЖЕНИЯ</t>
  </si>
  <si>
    <t>Проценты по кредитам</t>
  </si>
  <si>
    <t>Текущие затраты (без амортизации)</t>
  </si>
  <si>
    <t>Капитальные вложения</t>
  </si>
  <si>
    <t>Изменение ЧОК</t>
  </si>
  <si>
    <t>Налог  выручки</t>
  </si>
  <si>
    <t>Налог на имущество</t>
  </si>
  <si>
    <t>Налог на прибыль</t>
  </si>
  <si>
    <t>Затраты на строительство (с НДС)</t>
  </si>
  <si>
    <t>Остаточная стоимость активов (без НДС)</t>
  </si>
  <si>
    <t>ОЦЕНКА ЭФФЕКТИВНОСТИ ПРОЕКТА</t>
  </si>
  <si>
    <t>Изменение выручки</t>
  </si>
  <si>
    <t>Изменение НДС к выручке от реализации</t>
  </si>
  <si>
    <t>Изменение затрат (энергия)</t>
  </si>
  <si>
    <t>ТЕКУЩИЕ ЗАТРАТЫ (изменение)</t>
  </si>
  <si>
    <t>НДС к текущим затратам (изменение)</t>
  </si>
  <si>
    <t>ЗАТРАТЫ ПАРА</t>
  </si>
  <si>
    <t>Потребление пара</t>
  </si>
  <si>
    <t>Изменение стоимости пара</t>
  </si>
  <si>
    <t>Изменение затрат (пар)</t>
  </si>
  <si>
    <t>**Методический вопрос разделения затрат на пар и энергию решен по принципу 100% затрат - на основной продукт ТЭЦ - энергию</t>
  </si>
  <si>
    <t>амортизационные отчисления</t>
  </si>
  <si>
    <t>Изменение выручки, связанное с реализацией проекта</t>
  </si>
  <si>
    <t>Внутренняя норма доходности (IRR), годовая</t>
  </si>
  <si>
    <t>ТЕКУЩИЕ ЗАТРАТЫ (изменения)</t>
  </si>
  <si>
    <t>изменение</t>
  </si>
  <si>
    <t>Руб./ МВт.ч.</t>
  </si>
  <si>
    <t>млн. руб.</t>
  </si>
  <si>
    <t>года</t>
  </si>
  <si>
    <t>Изменение стоимости энергии (102-500)</t>
  </si>
  <si>
    <t>ГКал</t>
  </si>
  <si>
    <t>Руб./ Гкал</t>
  </si>
  <si>
    <t>Итого изменение затрат в связи с реализацией проекта</t>
  </si>
  <si>
    <t xml:space="preserve">ПОТОКИ ПРОЕКТА </t>
  </si>
  <si>
    <t>в том числе изменение амортизационных отчислений</t>
  </si>
  <si>
    <r>
      <t>Удельные переменные затраты ..</t>
    </r>
    <r>
      <rPr>
        <u val="single"/>
        <sz val="10"/>
        <rFont val="Arial Cyr"/>
        <family val="2"/>
      </rPr>
      <t xml:space="preserve">после </t>
    </r>
    <r>
      <rPr>
        <sz val="10"/>
        <rFont val="Arial Cyr"/>
        <family val="2"/>
      </rPr>
      <t>осуществления проекта</t>
    </r>
  </si>
  <si>
    <r>
      <t>Удельные переменные затраты ..</t>
    </r>
    <r>
      <rPr>
        <u val="single"/>
        <sz val="10"/>
        <rFont val="Arial Cyr"/>
        <family val="2"/>
      </rPr>
      <t>до</t>
    </r>
    <r>
      <rPr>
        <sz val="10"/>
        <rFont val="Arial Cyr"/>
        <family val="2"/>
      </rPr>
      <t xml:space="preserve"> осуществления проекта</t>
    </r>
  </si>
  <si>
    <t>1 п/г</t>
  </si>
  <si>
    <t>2 п/г</t>
  </si>
  <si>
    <t>3 п/г</t>
  </si>
  <si>
    <t>170 р/т</t>
  </si>
  <si>
    <t>тыс. руб.</t>
  </si>
  <si>
    <r>
      <t xml:space="preserve">Изменение переменных затрат </t>
    </r>
    <r>
      <rPr>
        <sz val="10"/>
        <rFont val="Arial Cyr"/>
        <family val="2"/>
      </rPr>
      <t>(-) сокращение</t>
    </r>
  </si>
  <si>
    <t>Изменение постоянных затрат: прирост (+), сокращение (-)</t>
  </si>
  <si>
    <t>4 п/г</t>
  </si>
  <si>
    <t>Чистый дисконтированный доход (NPV) за 5 лет</t>
  </si>
  <si>
    <t>5 п/г</t>
  </si>
  <si>
    <t>6 п/г</t>
  </si>
  <si>
    <t>7 п/г</t>
  </si>
  <si>
    <t>8 п/г</t>
  </si>
  <si>
    <t>9 п/г</t>
  </si>
  <si>
    <t>10 п/г</t>
  </si>
  <si>
    <t>Индекс доходности затрат (притоки/оттоки)</t>
  </si>
  <si>
    <t>Индекс доходности дисконтированных затрат (дисконтированные притоки/дисконтированные оттоки)</t>
  </si>
  <si>
    <t>экономия</t>
  </si>
  <si>
    <t>140 р/т</t>
  </si>
  <si>
    <t>30 р/т</t>
  </si>
  <si>
    <t>(значения условные)</t>
  </si>
  <si>
    <t>Сокращение текущих затрат (без амортизации)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</si>
</sst>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&quot;$&quot;#,##0.00_);[Red]\(&quot;$&quot;#,##0.00\)"/>
    <numFmt numFmtId="166" formatCode="0.000"/>
    <numFmt numFmtId="167" formatCode="0;[Red]\-0"/>
    <numFmt numFmtId="168" formatCode="0.0"/>
    <numFmt numFmtId="169" formatCode="0.00000"/>
    <numFmt numFmtId="170" formatCode="0.0000"/>
    <numFmt numFmtId="171" formatCode="General_)"/>
    <numFmt numFmtId="172" formatCode="0;[Blue]\-0"/>
    <numFmt numFmtId="173" formatCode="0.0%"/>
    <numFmt numFmtId="174" formatCode="0.0;[Red]\-0.0"/>
  </numFmts>
  <fonts count="15">
    <font>
      <sz val="10"/>
      <name val="PragmaticaTT"/>
      <family val="0"/>
    </font>
    <font>
      <b/>
      <sz val="10"/>
      <name val="PragmaticaTT"/>
      <family val="0"/>
    </font>
    <font>
      <i/>
      <sz val="10"/>
      <name val="PragmaticaTT"/>
      <family val="0"/>
    </font>
    <font>
      <b/>
      <i/>
      <sz val="10"/>
      <name val="PragmaticaTT"/>
      <family val="0"/>
    </font>
    <font>
      <sz val="10"/>
      <name val="MS Sans Serif"/>
      <family val="0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color indexed="17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1"/>
      <name val="Arial Cyr"/>
      <family val="2"/>
    </font>
    <font>
      <b/>
      <i/>
      <sz val="10"/>
      <color indexed="17"/>
      <name val="Arial Cyr"/>
      <family val="2"/>
    </font>
    <font>
      <i/>
      <sz val="10"/>
      <color indexed="17"/>
      <name val="Arial Cyr"/>
      <family val="2"/>
    </font>
    <font>
      <u val="single"/>
      <sz val="10"/>
      <name val="Arial Cyr"/>
      <family val="2"/>
    </font>
  </fonts>
  <fills count="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>
      <alignment/>
      <protection/>
    </xf>
    <xf numFmtId="0" fontId="4" fillId="0" borderId="1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" fontId="8" fillId="0" borderId="2" xfId="0" applyNumberFormat="1" applyFont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NumberFormat="1" applyFont="1" applyAlignment="1" applyProtection="1">
      <alignment wrapText="1"/>
      <protection/>
    </xf>
    <xf numFmtId="0" fontId="9" fillId="0" borderId="3" xfId="0" applyNumberFormat="1" applyFont="1" applyBorder="1" applyAlignment="1" applyProtection="1" quotePrefix="1">
      <alignment wrapText="1"/>
      <protection/>
    </xf>
    <xf numFmtId="0" fontId="8" fillId="0" borderId="2" xfId="0" applyNumberFormat="1" applyFont="1" applyBorder="1" applyAlignment="1" applyProtection="1">
      <alignment horizontal="right" wrapText="1"/>
      <protection/>
    </xf>
    <xf numFmtId="0" fontId="5" fillId="0" borderId="0" xfId="0" applyNumberFormat="1" applyFont="1" applyAlignment="1" applyProtection="1" quotePrefix="1">
      <alignment wrapText="1"/>
      <protection/>
    </xf>
    <xf numFmtId="0" fontId="9" fillId="3" borderId="4" xfId="0" applyNumberFormat="1" applyFont="1" applyFill="1" applyBorder="1" applyAlignment="1" applyProtection="1" quotePrefix="1">
      <alignment wrapText="1"/>
      <protection/>
    </xf>
    <xf numFmtId="0" fontId="9" fillId="0" borderId="0" xfId="0" applyFont="1" applyBorder="1" applyAlignment="1">
      <alignment horizontal="right" wrapText="1"/>
    </xf>
    <xf numFmtId="1" fontId="9" fillId="0" borderId="0" xfId="0" applyNumberFormat="1" applyFont="1" applyBorder="1" applyAlignment="1">
      <alignment horizontal="center"/>
    </xf>
    <xf numFmtId="168" fontId="5" fillId="0" borderId="0" xfId="0" applyNumberFormat="1" applyFont="1" applyAlignment="1" applyProtection="1">
      <alignment/>
      <protection/>
    </xf>
    <xf numFmtId="168" fontId="9" fillId="0" borderId="3" xfId="0" applyNumberFormat="1" applyFont="1" applyBorder="1" applyAlignment="1" applyProtection="1">
      <alignment/>
      <protection/>
    </xf>
    <xf numFmtId="168" fontId="9" fillId="3" borderId="4" xfId="0" applyNumberFormat="1" applyFont="1" applyFill="1" applyBorder="1" applyAlignment="1" applyProtection="1">
      <alignment/>
      <protection/>
    </xf>
    <xf numFmtId="0" fontId="12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/>
      <protection/>
    </xf>
    <xf numFmtId="166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5" fillId="0" borderId="4" xfId="0" applyNumberFormat="1" applyFont="1" applyBorder="1" applyAlignment="1" applyProtection="1">
      <alignment/>
      <protection/>
    </xf>
    <xf numFmtId="173" fontId="5" fillId="0" borderId="4" xfId="0" applyNumberFormat="1" applyFont="1" applyFill="1" applyBorder="1" applyAlignment="1">
      <alignment horizontal="right"/>
    </xf>
    <xf numFmtId="9" fontId="12" fillId="0" borderId="5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/>
      <protection/>
    </xf>
    <xf numFmtId="0" fontId="5" fillId="0" borderId="3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>
      <alignment horizontal="center"/>
    </xf>
    <xf numFmtId="9" fontId="12" fillId="0" borderId="6" xfId="0" applyNumberFormat="1" applyFont="1" applyBorder="1" applyAlignment="1" applyProtection="1">
      <alignment horizontal="center"/>
      <protection locked="0"/>
    </xf>
    <xf numFmtId="168" fontId="9" fillId="0" borderId="7" xfId="0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/>
    </xf>
    <xf numFmtId="173" fontId="9" fillId="0" borderId="8" xfId="0" applyNumberFormat="1" applyFont="1" applyBorder="1" applyAlignment="1">
      <alignment horizontal="center"/>
    </xf>
    <xf numFmtId="173" fontId="9" fillId="0" borderId="9" xfId="0" applyNumberFormat="1" applyFont="1" applyBorder="1" applyAlignment="1">
      <alignment horizontal="center"/>
    </xf>
    <xf numFmtId="0" fontId="8" fillId="0" borderId="6" xfId="0" applyNumberFormat="1" applyFont="1" applyBorder="1" applyAlignment="1" applyProtection="1">
      <alignment/>
      <protection/>
    </xf>
    <xf numFmtId="1" fontId="6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 applyProtection="1">
      <alignment/>
      <protection/>
    </xf>
    <xf numFmtId="0" fontId="6" fillId="3" borderId="10" xfId="0" applyNumberFormat="1" applyFont="1" applyFill="1" applyBorder="1" applyAlignment="1" applyProtection="1">
      <alignment wrapText="1"/>
      <protection/>
    </xf>
    <xf numFmtId="1" fontId="6" fillId="3" borderId="10" xfId="0" applyNumberFormat="1" applyFont="1" applyFill="1" applyBorder="1" applyAlignment="1">
      <alignment horizontal="right"/>
    </xf>
    <xf numFmtId="1" fontId="6" fillId="3" borderId="11" xfId="0" applyNumberFormat="1" applyFont="1" applyFill="1" applyBorder="1" applyAlignment="1">
      <alignment horizontal="right"/>
    </xf>
    <xf numFmtId="168" fontId="9" fillId="0" borderId="3" xfId="0" applyNumberFormat="1" applyFont="1" applyFill="1" applyBorder="1" applyAlignment="1" applyProtection="1">
      <alignment/>
      <protection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NumberFormat="1" applyFont="1" applyBorder="1" applyAlignment="1" applyProtection="1">
      <alignment wrapText="1"/>
      <protection/>
    </xf>
    <xf numFmtId="9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 applyProtection="1">
      <alignment/>
      <protection/>
    </xf>
    <xf numFmtId="168" fontId="5" fillId="0" borderId="7" xfId="0" applyNumberFormat="1" applyFont="1" applyBorder="1" applyAlignment="1" applyProtection="1">
      <alignment horizontal="center"/>
      <protection/>
    </xf>
    <xf numFmtId="168" fontId="5" fillId="0" borderId="12" xfId="0" applyNumberFormat="1" applyFont="1" applyBorder="1" applyAlignment="1" applyProtection="1">
      <alignment horizontal="center" wrapText="1"/>
      <protection/>
    </xf>
    <xf numFmtId="168" fontId="5" fillId="0" borderId="0" xfId="0" applyNumberFormat="1" applyFont="1" applyBorder="1" applyAlignment="1" applyProtection="1">
      <alignment horizontal="center" wrapText="1"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Border="1" applyAlignment="1" applyProtection="1">
      <alignment/>
      <protection/>
    </xf>
    <xf numFmtId="1" fontId="5" fillId="0" borderId="3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/>
    </xf>
    <xf numFmtId="1" fontId="6" fillId="3" borderId="1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 applyProtection="1">
      <alignment/>
      <protection/>
    </xf>
    <xf numFmtId="1" fontId="5" fillId="0" borderId="15" xfId="0" applyNumberFormat="1" applyFont="1" applyFill="1" applyBorder="1" applyAlignment="1" applyProtection="1">
      <alignment/>
      <protection/>
    </xf>
    <xf numFmtId="168" fontId="5" fillId="0" borderId="13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/>
    </xf>
    <xf numFmtId="1" fontId="6" fillId="0" borderId="13" xfId="0" applyNumberFormat="1" applyFont="1" applyFill="1" applyBorder="1" applyAlignment="1">
      <alignment horizontal="right"/>
    </xf>
    <xf numFmtId="168" fontId="5" fillId="0" borderId="13" xfId="0" applyNumberFormat="1" applyFont="1" applyFill="1" applyBorder="1" applyAlignment="1">
      <alignment horizontal="right"/>
    </xf>
    <xf numFmtId="173" fontId="5" fillId="0" borderId="16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1" fontId="5" fillId="0" borderId="4" xfId="0" applyNumberFormat="1" applyFont="1" applyBorder="1" applyAlignment="1">
      <alignment/>
    </xf>
    <xf numFmtId="14" fontId="6" fillId="3" borderId="10" xfId="0" applyNumberFormat="1" applyFont="1" applyFill="1" applyBorder="1" applyAlignment="1">
      <alignment horizontal="center"/>
    </xf>
    <xf numFmtId="1" fontId="13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right"/>
      <protection/>
    </xf>
    <xf numFmtId="0" fontId="9" fillId="0" borderId="3" xfId="0" applyNumberFormat="1" applyFont="1" applyBorder="1" applyAlignment="1" applyProtection="1" quotePrefix="1">
      <alignment/>
      <protection/>
    </xf>
    <xf numFmtId="0" fontId="6" fillId="0" borderId="3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Alignment="1" applyProtection="1" quotePrefix="1">
      <alignment/>
      <protection/>
    </xf>
    <xf numFmtId="0" fontId="6" fillId="0" borderId="0" xfId="0" applyNumberFormat="1" applyFont="1" applyAlignment="1">
      <alignment horizontal="center"/>
    </xf>
    <xf numFmtId="1" fontId="9" fillId="0" borderId="0" xfId="0" applyNumberFormat="1" applyFont="1" applyFill="1" applyAlignment="1" applyProtection="1">
      <alignment/>
      <protection/>
    </xf>
    <xf numFmtId="0" fontId="8" fillId="0" borderId="4" xfId="0" applyNumberFormat="1" applyFont="1" applyBorder="1" applyAlignment="1" applyProtection="1">
      <alignment horizontal="center"/>
      <protection/>
    </xf>
    <xf numFmtId="1" fontId="9" fillId="0" borderId="4" xfId="0" applyNumberFormat="1" applyFont="1" applyFill="1" applyBorder="1" applyAlignment="1" applyProtection="1">
      <alignment/>
      <protection/>
    </xf>
    <xf numFmtId="0" fontId="9" fillId="3" borderId="11" xfId="0" applyNumberFormat="1" applyFont="1" applyFill="1" applyBorder="1" applyAlignment="1" applyProtection="1">
      <alignment wrapText="1"/>
      <protection/>
    </xf>
    <xf numFmtId="0" fontId="8" fillId="3" borderId="11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 applyProtection="1">
      <alignment wrapText="1"/>
      <protection/>
    </xf>
    <xf numFmtId="9" fontId="8" fillId="0" borderId="5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/>
    </xf>
    <xf numFmtId="14" fontId="6" fillId="3" borderId="14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9" fillId="0" borderId="3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 quotePrefix="1">
      <alignment/>
      <protection/>
    </xf>
    <xf numFmtId="0" fontId="8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Border="1" applyAlignment="1" applyProtection="1">
      <alignment horizontal="center"/>
      <protection/>
    </xf>
    <xf numFmtId="1" fontId="9" fillId="0" borderId="15" xfId="0" applyNumberFormat="1" applyFont="1" applyFill="1" applyBorder="1" applyAlignment="1" applyProtection="1">
      <alignment/>
      <protection/>
    </xf>
    <xf numFmtId="1" fontId="9" fillId="0" borderId="13" xfId="0" applyNumberFormat="1" applyFont="1" applyFill="1" applyBorder="1" applyAlignment="1" applyProtection="1">
      <alignment/>
      <protection/>
    </xf>
    <xf numFmtId="0" fontId="9" fillId="0" borderId="4" xfId="0" applyNumberFormat="1" applyFont="1" applyBorder="1" applyAlignment="1" applyProtection="1">
      <alignment/>
      <protection/>
    </xf>
    <xf numFmtId="1" fontId="9" fillId="0" borderId="16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9" fontId="5" fillId="0" borderId="5" xfId="20" applyFont="1" applyBorder="1" applyAlignment="1" applyProtection="1">
      <alignment horizontal="center"/>
      <protection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8" fillId="0" borderId="19" xfId="0" applyNumberFormat="1" applyFont="1" applyBorder="1" applyAlignment="1" applyProtection="1">
      <alignment/>
      <protection/>
    </xf>
    <xf numFmtId="9" fontId="7" fillId="3" borderId="5" xfId="20" applyFont="1" applyFill="1" applyBorder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1" fontId="9" fillId="0" borderId="3" xfId="0" applyNumberFormat="1" applyFont="1" applyBorder="1" applyAlignment="1" applyProtection="1">
      <alignment/>
      <protection/>
    </xf>
    <xf numFmtId="1" fontId="9" fillId="3" borderId="4" xfId="0" applyNumberFormat="1" applyFont="1" applyFill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/>
      <protection/>
    </xf>
    <xf numFmtId="1" fontId="8" fillId="0" borderId="20" xfId="0" applyNumberFormat="1" applyFont="1" applyBorder="1" applyAlignment="1" applyProtection="1">
      <alignment/>
      <protection/>
    </xf>
    <xf numFmtId="1" fontId="9" fillId="3" borderId="16" xfId="0" applyNumberFormat="1" applyFont="1" applyFill="1" applyBorder="1" applyAlignment="1" applyProtection="1">
      <alignment/>
      <protection/>
    </xf>
    <xf numFmtId="0" fontId="11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9" fontId="7" fillId="3" borderId="7" xfId="20" applyFont="1" applyFill="1" applyBorder="1" applyAlignment="1" applyProtection="1">
      <alignment horizontal="center"/>
      <protection/>
    </xf>
    <xf numFmtId="9" fontId="7" fillId="3" borderId="8" xfId="20" applyFont="1" applyFill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/>
      <protection/>
    </xf>
    <xf numFmtId="1" fontId="8" fillId="0" borderId="13" xfId="0" applyNumberFormat="1" applyFont="1" applyBorder="1" applyAlignment="1" applyProtection="1">
      <alignment/>
      <protection/>
    </xf>
    <xf numFmtId="1" fontId="8" fillId="0" borderId="0" xfId="0" applyNumberFormat="1" applyFont="1" applyFill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>
      <alignment/>
    </xf>
    <xf numFmtId="1" fontId="8" fillId="0" borderId="3" xfId="0" applyNumberFormat="1" applyFont="1" applyFill="1" applyBorder="1" applyAlignment="1" applyProtection="1">
      <alignment/>
      <protection/>
    </xf>
    <xf numFmtId="1" fontId="8" fillId="0" borderId="15" xfId="0" applyNumberFormat="1" applyFont="1" applyBorder="1" applyAlignment="1" applyProtection="1">
      <alignment/>
      <protection/>
    </xf>
    <xf numFmtId="1" fontId="8" fillId="0" borderId="3" xfId="0" applyNumberFormat="1" applyFont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2" fontId="8" fillId="0" borderId="6" xfId="0" applyNumberFormat="1" applyFont="1" applyFill="1" applyBorder="1" applyAlignment="1" applyProtection="1">
      <alignment/>
      <protection/>
    </xf>
    <xf numFmtId="2" fontId="8" fillId="0" borderId="2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9" fontId="7" fillId="0" borderId="12" xfId="20" applyFont="1" applyFill="1" applyBorder="1" applyAlignment="1" applyProtection="1">
      <alignment horizontal="center"/>
      <protection/>
    </xf>
    <xf numFmtId="9" fontId="7" fillId="0" borderId="5" xfId="20" applyFont="1" applyFill="1" applyBorder="1" applyAlignment="1" applyProtection="1">
      <alignment horizontal="center"/>
      <protection/>
    </xf>
    <xf numFmtId="168" fontId="5" fillId="0" borderId="3" xfId="0" applyNumberFormat="1" applyFont="1" applyFill="1" applyBorder="1" applyAlignment="1" applyProtection="1">
      <alignment/>
      <protection/>
    </xf>
    <xf numFmtId="168" fontId="5" fillId="0" borderId="5" xfId="0" applyNumberFormat="1" applyFont="1" applyBorder="1" applyAlignment="1" applyProtection="1">
      <alignment horizontal="center"/>
      <protection/>
    </xf>
    <xf numFmtId="168" fontId="5" fillId="0" borderId="3" xfId="0" applyNumberFormat="1" applyFont="1" applyBorder="1" applyAlignment="1" applyProtection="1">
      <alignment horizontal="center" wrapText="1"/>
      <protection/>
    </xf>
    <xf numFmtId="168" fontId="5" fillId="0" borderId="3" xfId="0" applyNumberFormat="1" applyFont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5" fillId="0" borderId="13" xfId="0" applyNumberFormat="1" applyFont="1" applyBorder="1" applyAlignment="1" applyProtection="1">
      <alignment/>
      <protection/>
    </xf>
    <xf numFmtId="1" fontId="9" fillId="0" borderId="15" xfId="0" applyNumberFormat="1" applyFont="1" applyBorder="1" applyAlignment="1" applyProtection="1">
      <alignment/>
      <protection/>
    </xf>
    <xf numFmtId="1" fontId="5" fillId="0" borderId="13" xfId="0" applyNumberFormat="1" applyFont="1" applyBorder="1" applyAlignment="1">
      <alignment/>
    </xf>
    <xf numFmtId="168" fontId="9" fillId="0" borderId="15" xfId="0" applyNumberFormat="1" applyFont="1" applyBorder="1" applyAlignment="1" applyProtection="1">
      <alignment/>
      <protection/>
    </xf>
    <xf numFmtId="1" fontId="5" fillId="0" borderId="0" xfId="0" applyNumberFormat="1" applyFont="1" applyFill="1" applyBorder="1" applyAlignment="1">
      <alignment horizontal="left"/>
    </xf>
    <xf numFmtId="1" fontId="8" fillId="0" borderId="22" xfId="0" applyNumberFormat="1" applyFont="1" applyFill="1" applyBorder="1" applyAlignment="1" applyProtection="1">
      <alignment/>
      <protection/>
    </xf>
    <xf numFmtId="1" fontId="6" fillId="0" borderId="11" xfId="0" applyNumberFormat="1" applyFont="1" applyFill="1" applyBorder="1" applyAlignment="1">
      <alignment horizontal="right"/>
    </xf>
    <xf numFmtId="1" fontId="6" fillId="0" borderId="23" xfId="0" applyNumberFormat="1" applyFont="1" applyFill="1" applyBorder="1" applyAlignment="1">
      <alignment horizontal="right"/>
    </xf>
    <xf numFmtId="168" fontId="5" fillId="0" borderId="15" xfId="0" applyNumberFormat="1" applyFont="1" applyBorder="1" applyAlignment="1" applyProtection="1">
      <alignment/>
      <protection/>
    </xf>
    <xf numFmtId="0" fontId="5" fillId="0" borderId="24" xfId="0" applyFont="1" applyBorder="1" applyAlignment="1">
      <alignment horizontal="center"/>
    </xf>
    <xf numFmtId="168" fontId="5" fillId="0" borderId="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NumberFormat="1" applyFont="1" applyBorder="1" applyAlignment="1" applyProtection="1">
      <alignment horizontal="left" wrapText="1"/>
      <protection/>
    </xf>
    <xf numFmtId="0" fontId="5" fillId="0" borderId="7" xfId="0" applyNumberFormat="1" applyFont="1" applyBorder="1" applyAlignment="1" applyProtection="1">
      <alignment horizontal="left" wrapText="1"/>
      <protection/>
    </xf>
    <xf numFmtId="1" fontId="6" fillId="3" borderId="10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right"/>
    </xf>
    <xf numFmtId="168" fontId="5" fillId="0" borderId="28" xfId="0" applyNumberFormat="1" applyFont="1" applyBorder="1" applyAlignment="1" applyProtection="1">
      <alignment horizontal="center"/>
      <protection/>
    </xf>
    <xf numFmtId="168" fontId="5" fillId="0" borderId="28" xfId="0" applyNumberFormat="1" applyFont="1" applyBorder="1" applyAlignment="1" applyProtection="1">
      <alignment horizontal="center" wrapText="1"/>
      <protection/>
    </xf>
    <xf numFmtId="168" fontId="5" fillId="0" borderId="29" xfId="0" applyNumberFormat="1" applyFont="1" applyBorder="1" applyAlignment="1" applyProtection="1">
      <alignment horizontal="center" wrapText="1"/>
      <protection/>
    </xf>
    <xf numFmtId="1" fontId="5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 applyProtection="1">
      <alignment wrapText="1"/>
      <protection/>
    </xf>
    <xf numFmtId="0" fontId="5" fillId="0" borderId="26" xfId="0" applyNumberFormat="1" applyFont="1" applyBorder="1" applyAlignment="1" applyProtection="1">
      <alignment wrapText="1"/>
      <protection/>
    </xf>
    <xf numFmtId="168" fontId="5" fillId="0" borderId="30" xfId="0" applyNumberFormat="1" applyFont="1" applyBorder="1" applyAlignment="1" applyProtection="1">
      <alignment horizontal="center"/>
      <protection/>
    </xf>
    <xf numFmtId="0" fontId="5" fillId="0" borderId="29" xfId="0" applyNumberFormat="1" applyFont="1" applyBorder="1" applyAlignment="1" applyProtection="1">
      <alignment wrapText="1"/>
      <protection/>
    </xf>
    <xf numFmtId="168" fontId="5" fillId="0" borderId="31" xfId="0" applyNumberFormat="1" applyFont="1" applyBorder="1" applyAlignment="1" applyProtection="1">
      <alignment horizontal="center" wrapText="1"/>
      <protection/>
    </xf>
    <xf numFmtId="1" fontId="5" fillId="0" borderId="9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28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/>
    </xf>
    <xf numFmtId="174" fontId="9" fillId="0" borderId="8" xfId="0" applyNumberFormat="1" applyFont="1" applyBorder="1" applyAlignment="1">
      <alignment horizontal="center"/>
    </xf>
    <xf numFmtId="173" fontId="7" fillId="0" borderId="7" xfId="2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0" fontId="5" fillId="0" borderId="3" xfId="0" applyNumberFormat="1" applyFont="1" applyBorder="1" applyAlignment="1" applyProtection="1">
      <alignment horizontal="left" wrapText="1"/>
      <protection/>
    </xf>
    <xf numFmtId="0" fontId="9" fillId="0" borderId="17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</cellXfs>
  <cellStyles count="11">
    <cellStyle name="Normal" xfId="0"/>
    <cellStyle name="1Normal" xfId="15"/>
    <cellStyle name="Norma11l" xfId="16"/>
    <cellStyle name="Normal_MACRO" xfId="17"/>
    <cellStyle name="Currency" xfId="18"/>
    <cellStyle name="Currency [0]" xfId="19"/>
    <cellStyle name="Percent" xfId="20"/>
    <cellStyle name="Тысячи [0]_Chart1 (Sales &amp; Costs)" xfId="21"/>
    <cellStyle name="Тысячи_Chart1 (Sales &amp; Costs)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32"/>
  <sheetViews>
    <sheetView tabSelected="1" zoomScale="90" zoomScaleNormal="90" workbookViewId="0" topLeftCell="A1">
      <selection activeCell="F48" sqref="F48"/>
    </sheetView>
  </sheetViews>
  <sheetFormatPr defaultColWidth="9.00390625" defaultRowHeight="12.75"/>
  <cols>
    <col min="1" max="1" width="51.75390625" style="7" customWidth="1"/>
    <col min="2" max="2" width="12.875" style="1" customWidth="1"/>
    <col min="3" max="5" width="10.00390625" style="1" customWidth="1"/>
    <col min="6" max="6" width="10.00390625" style="102" customWidth="1"/>
    <col min="7" max="12" width="10.00390625" style="1" customWidth="1"/>
    <col min="13" max="16384" width="9.00390625" style="1" customWidth="1"/>
  </cols>
  <sheetData>
    <row r="1" spans="1:5" ht="15">
      <c r="A1" s="7" t="s">
        <v>116</v>
      </c>
      <c r="E1" s="116" t="s">
        <v>69</v>
      </c>
    </row>
    <row r="3" ht="13.5" thickBot="1">
      <c r="D3" s="102"/>
    </row>
    <row r="4" spans="1:12" ht="13.5" thickBot="1">
      <c r="A4" s="43" t="s">
        <v>30</v>
      </c>
      <c r="B4" s="45"/>
      <c r="C4" s="44" t="s">
        <v>96</v>
      </c>
      <c r="D4" s="44" t="s">
        <v>97</v>
      </c>
      <c r="E4" s="44" t="s">
        <v>98</v>
      </c>
      <c r="F4" s="44" t="s">
        <v>105</v>
      </c>
      <c r="G4" s="44" t="s">
        <v>103</v>
      </c>
      <c r="H4" s="44" t="s">
        <v>106</v>
      </c>
      <c r="I4" s="44" t="s">
        <v>107</v>
      </c>
      <c r="J4" s="44" t="s">
        <v>108</v>
      </c>
      <c r="K4" s="44" t="s">
        <v>109</v>
      </c>
      <c r="L4" s="44" t="s">
        <v>110</v>
      </c>
    </row>
    <row r="5" spans="1:12" ht="12.75">
      <c r="A5" s="50" t="s">
        <v>31</v>
      </c>
      <c r="B5" s="144" t="s">
        <v>32</v>
      </c>
      <c r="C5" s="58">
        <v>200000</v>
      </c>
      <c r="D5" s="58">
        <v>200000</v>
      </c>
      <c r="E5" s="58">
        <v>200000</v>
      </c>
      <c r="F5" s="58">
        <v>200000</v>
      </c>
      <c r="G5" s="58">
        <f aca="true" t="shared" si="0" ref="G5:L5">F5</f>
        <v>200000</v>
      </c>
      <c r="H5" s="58">
        <f t="shared" si="0"/>
        <v>200000</v>
      </c>
      <c r="I5" s="58">
        <f t="shared" si="0"/>
        <v>200000</v>
      </c>
      <c r="J5" s="58">
        <f t="shared" si="0"/>
        <v>200000</v>
      </c>
      <c r="K5" s="58">
        <f t="shared" si="0"/>
        <v>200000</v>
      </c>
      <c r="L5" s="58">
        <f t="shared" si="0"/>
        <v>200000</v>
      </c>
    </row>
    <row r="6" spans="1:12" ht="13.5" thickBot="1">
      <c r="A6" s="187" t="s">
        <v>81</v>
      </c>
      <c r="B6" s="187"/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</row>
    <row r="7" spans="1:12" ht="13.5" hidden="1" thickTop="1">
      <c r="A7" s="7" t="s">
        <v>71</v>
      </c>
      <c r="B7" s="51">
        <v>0.18</v>
      </c>
      <c r="C7" s="1">
        <f aca="true" t="shared" si="1" ref="C7:L7">$B$7*C6</f>
        <v>0</v>
      </c>
      <c r="D7" s="102">
        <f t="shared" si="1"/>
        <v>0</v>
      </c>
      <c r="E7" s="1">
        <f t="shared" si="1"/>
        <v>0</v>
      </c>
      <c r="F7" s="102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0</v>
      </c>
    </row>
    <row r="8" spans="2:4" ht="13.5" thickTop="1">
      <c r="B8" s="51"/>
      <c r="D8" s="102"/>
    </row>
    <row r="9" ht="12.75" hidden="1">
      <c r="D9" s="102"/>
    </row>
    <row r="10" ht="13.5" thickBot="1">
      <c r="D10" s="102"/>
    </row>
    <row r="11" spans="1:12" ht="13.5" thickBot="1">
      <c r="A11" s="43" t="s">
        <v>83</v>
      </c>
      <c r="B11" s="44"/>
      <c r="C11" s="44" t="s">
        <v>96</v>
      </c>
      <c r="D11" s="44" t="s">
        <v>97</v>
      </c>
      <c r="E11" s="44" t="s">
        <v>98</v>
      </c>
      <c r="F11" s="44" t="s">
        <v>105</v>
      </c>
      <c r="G11" s="44" t="s">
        <v>103</v>
      </c>
      <c r="H11" s="44" t="s">
        <v>106</v>
      </c>
      <c r="I11" s="44" t="s">
        <v>107</v>
      </c>
      <c r="J11" s="44" t="s">
        <v>108</v>
      </c>
      <c r="K11" s="44" t="s">
        <v>109</v>
      </c>
      <c r="L11" s="44" t="s">
        <v>110</v>
      </c>
    </row>
    <row r="12" spans="1:12" s="59" customFormat="1" ht="22.5" customHeight="1">
      <c r="A12" s="173" t="s">
        <v>101</v>
      </c>
      <c r="B12" s="179" t="s">
        <v>100</v>
      </c>
      <c r="C12" s="41"/>
      <c r="D12" s="150">
        <f>D5*(140-170)/1000</f>
        <v>-6000</v>
      </c>
      <c r="E12" s="150">
        <f aca="true" t="shared" si="2" ref="E12:L12">E5*(140-170)/1000</f>
        <v>-6000</v>
      </c>
      <c r="F12" s="150">
        <f t="shared" si="2"/>
        <v>-6000</v>
      </c>
      <c r="G12" s="150">
        <f t="shared" si="2"/>
        <v>-6000</v>
      </c>
      <c r="H12" s="150">
        <f t="shared" si="2"/>
        <v>-6000</v>
      </c>
      <c r="I12" s="150">
        <f t="shared" si="2"/>
        <v>-6000</v>
      </c>
      <c r="J12" s="150">
        <f t="shared" si="2"/>
        <v>-6000</v>
      </c>
      <c r="K12" s="150">
        <f t="shared" si="2"/>
        <v>-6000</v>
      </c>
      <c r="L12" s="150">
        <f t="shared" si="2"/>
        <v>-6000</v>
      </c>
    </row>
    <row r="13" spans="1:12" ht="39" customHeight="1">
      <c r="A13" s="174" t="s">
        <v>95</v>
      </c>
      <c r="B13" s="175" t="s">
        <v>99</v>
      </c>
      <c r="C13" s="182" t="s">
        <v>113</v>
      </c>
      <c r="D13" s="20"/>
      <c r="E13" s="52"/>
      <c r="F13" s="20"/>
      <c r="G13" s="20"/>
      <c r="H13" s="20"/>
      <c r="I13" s="20"/>
      <c r="J13" s="20"/>
      <c r="K13" s="20"/>
      <c r="L13" s="20"/>
    </row>
    <row r="14" spans="1:12" ht="25.5">
      <c r="A14" s="176" t="s">
        <v>94</v>
      </c>
      <c r="B14" s="177" t="s">
        <v>114</v>
      </c>
      <c r="C14" s="181" t="s">
        <v>115</v>
      </c>
      <c r="D14" s="58" t="s">
        <v>0</v>
      </c>
      <c r="E14" s="58" t="s">
        <v>0</v>
      </c>
      <c r="F14" s="58" t="s">
        <v>0</v>
      </c>
      <c r="G14" s="58" t="s">
        <v>0</v>
      </c>
      <c r="H14" s="58" t="s">
        <v>0</v>
      </c>
      <c r="I14" s="58" t="s">
        <v>0</v>
      </c>
      <c r="J14" s="58" t="s">
        <v>0</v>
      </c>
      <c r="K14" s="58" t="s">
        <v>0</v>
      </c>
      <c r="L14" s="58" t="s">
        <v>0</v>
      </c>
    </row>
    <row r="15" spans="1:12" ht="8.25" customHeight="1">
      <c r="A15" s="70"/>
      <c r="B15" s="55"/>
      <c r="C15" s="56"/>
      <c r="D15" s="56"/>
      <c r="E15" s="56"/>
      <c r="F15" s="57"/>
      <c r="G15" s="57"/>
      <c r="H15" s="57"/>
      <c r="I15" s="57"/>
      <c r="J15" s="57"/>
      <c r="K15" s="57"/>
      <c r="L15" s="57"/>
    </row>
    <row r="16" spans="1:12" ht="12.75">
      <c r="A16" s="185" t="s">
        <v>102</v>
      </c>
      <c r="B16" s="185"/>
      <c r="C16" s="52">
        <v>0</v>
      </c>
      <c r="D16" s="20">
        <v>400</v>
      </c>
      <c r="E16" s="52">
        <f>D16</f>
        <v>400</v>
      </c>
      <c r="F16" s="52">
        <f aca="true" t="shared" si="3" ref="F16:L16">E16</f>
        <v>400</v>
      </c>
      <c r="G16" s="52">
        <f t="shared" si="3"/>
        <v>400</v>
      </c>
      <c r="H16" s="52">
        <f t="shared" si="3"/>
        <v>400</v>
      </c>
      <c r="I16" s="52">
        <f t="shared" si="3"/>
        <v>400</v>
      </c>
      <c r="J16" s="52">
        <f t="shared" si="3"/>
        <v>400</v>
      </c>
      <c r="K16" s="52">
        <f t="shared" si="3"/>
        <v>400</v>
      </c>
      <c r="L16" s="52">
        <f t="shared" si="3"/>
        <v>400</v>
      </c>
    </row>
    <row r="17" spans="1:12" ht="12.75">
      <c r="A17" s="186" t="s">
        <v>93</v>
      </c>
      <c r="B17" s="186"/>
      <c r="C17" s="58">
        <v>0</v>
      </c>
      <c r="D17" s="58">
        <f>D45</f>
        <v>325.42372881355936</v>
      </c>
      <c r="E17" s="58">
        <f>E45</f>
        <v>325.42372881355936</v>
      </c>
      <c r="F17" s="58">
        <f>F45</f>
        <v>325.42372881355936</v>
      </c>
      <c r="G17" s="58">
        <f aca="true" t="shared" si="4" ref="G17:L17">G45</f>
        <v>325.42372881355936</v>
      </c>
      <c r="H17" s="58">
        <f t="shared" si="4"/>
        <v>325.42372881355936</v>
      </c>
      <c r="I17" s="58">
        <f t="shared" si="4"/>
        <v>325.42372881355936</v>
      </c>
      <c r="J17" s="58">
        <f t="shared" si="4"/>
        <v>325.42372881355936</v>
      </c>
      <c r="K17" s="58">
        <f t="shared" si="4"/>
        <v>325.42372881355936</v>
      </c>
      <c r="L17" s="58">
        <f t="shared" si="4"/>
        <v>325.42372881355936</v>
      </c>
    </row>
    <row r="18" spans="1:12" ht="12.75">
      <c r="A18" s="71"/>
      <c r="B18" s="166"/>
      <c r="C18" s="52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26.25" thickBot="1">
      <c r="A19" s="117" t="s">
        <v>91</v>
      </c>
      <c r="B19" s="178" t="str">
        <f>B12</f>
        <v>тыс. руб.</v>
      </c>
      <c r="C19" s="72">
        <v>0</v>
      </c>
      <c r="D19" s="72">
        <f>D12+D16</f>
        <v>-5600</v>
      </c>
      <c r="E19" s="72">
        <f>E12+E16</f>
        <v>-5600</v>
      </c>
      <c r="F19" s="72">
        <f>F12+F16</f>
        <v>-5600</v>
      </c>
      <c r="G19" s="72">
        <f aca="true" t="shared" si="5" ref="G19:L19">G12+G16</f>
        <v>-5600</v>
      </c>
      <c r="H19" s="72">
        <f t="shared" si="5"/>
        <v>-5600</v>
      </c>
      <c r="I19" s="72">
        <f t="shared" si="5"/>
        <v>-5600</v>
      </c>
      <c r="J19" s="72">
        <f t="shared" si="5"/>
        <v>-5600</v>
      </c>
      <c r="K19" s="72">
        <f t="shared" si="5"/>
        <v>-5600</v>
      </c>
      <c r="L19" s="72">
        <f t="shared" si="5"/>
        <v>-5600</v>
      </c>
    </row>
    <row r="20" spans="1:12" ht="13.5" hidden="1" thickTop="1">
      <c r="A20" s="7" t="s">
        <v>74</v>
      </c>
      <c r="B20" s="51">
        <v>0.18</v>
      </c>
      <c r="C20" s="1">
        <f>$B$7*C19</f>
        <v>0</v>
      </c>
      <c r="D20" s="102">
        <f>$B$7*D19</f>
        <v>-1008</v>
      </c>
      <c r="E20" s="127">
        <f>$B$7*(E19-E17)</f>
        <v>-1066.5762711864406</v>
      </c>
      <c r="F20" s="172">
        <f aca="true" t="shared" si="6" ref="F20:L20">$B$7*(F19-F17)</f>
        <v>-1066.5762711864406</v>
      </c>
      <c r="G20" s="127">
        <f t="shared" si="6"/>
        <v>-1066.5762711864406</v>
      </c>
      <c r="H20" s="127">
        <f t="shared" si="6"/>
        <v>-1066.5762711864406</v>
      </c>
      <c r="I20" s="127">
        <f t="shared" si="6"/>
        <v>-1066.5762711864406</v>
      </c>
      <c r="J20" s="127">
        <f t="shared" si="6"/>
        <v>-1066.5762711864406</v>
      </c>
      <c r="K20" s="127">
        <f t="shared" si="6"/>
        <v>-1066.5762711864406</v>
      </c>
      <c r="L20" s="127">
        <f t="shared" si="6"/>
        <v>-1066.5762711864406</v>
      </c>
    </row>
    <row r="21" spans="2:4" ht="13.5" hidden="1" thickTop="1">
      <c r="B21" s="51"/>
      <c r="D21" s="102"/>
    </row>
    <row r="22" spans="2:4" ht="13.5" hidden="1" thickTop="1">
      <c r="B22" s="51"/>
      <c r="D22" s="102"/>
    </row>
    <row r="23" ht="13.5" hidden="1" thickTop="1">
      <c r="D23" s="102"/>
    </row>
    <row r="24" spans="1:12" ht="27" hidden="1" thickBot="1" thickTop="1">
      <c r="A24" s="84" t="s">
        <v>42</v>
      </c>
      <c r="B24" s="85" t="s">
        <v>52</v>
      </c>
      <c r="C24" s="73" t="str">
        <f aca="true" t="shared" si="7" ref="C24:L24">C50</f>
        <v>1 п/г</v>
      </c>
      <c r="D24" s="73" t="str">
        <f t="shared" si="7"/>
        <v>2 п/г</v>
      </c>
      <c r="E24" s="73" t="str">
        <f t="shared" si="7"/>
        <v>3 п/г</v>
      </c>
      <c r="F24" s="73" t="str">
        <f t="shared" si="7"/>
        <v>5 п/г</v>
      </c>
      <c r="G24" s="73" t="str">
        <f t="shared" si="7"/>
        <v>4 п/г</v>
      </c>
      <c r="H24" s="73" t="str">
        <f t="shared" si="7"/>
        <v>6 п/г</v>
      </c>
      <c r="I24" s="73" t="str">
        <f t="shared" si="7"/>
        <v>7 п/г</v>
      </c>
      <c r="J24" s="73" t="str">
        <f t="shared" si="7"/>
        <v>8 п/г</v>
      </c>
      <c r="K24" s="73" t="str">
        <f t="shared" si="7"/>
        <v>9 п/г</v>
      </c>
      <c r="L24" s="73" t="str">
        <f t="shared" si="7"/>
        <v>10 п/г</v>
      </c>
    </row>
    <row r="25" spans="1:12" s="59" customFormat="1" ht="13.5" hidden="1" thickTop="1">
      <c r="A25" s="86" t="s">
        <v>53</v>
      </c>
      <c r="B25" s="87">
        <v>0.18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s="59" customFormat="1" ht="13.5" hidden="1" thickTop="1">
      <c r="A26" s="86" t="s">
        <v>54</v>
      </c>
      <c r="B26" s="87">
        <v>0.5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3.5" hidden="1" thickTop="1">
      <c r="A27" s="26" t="s">
        <v>43</v>
      </c>
      <c r="B27" s="74">
        <v>0</v>
      </c>
      <c r="C27" s="52" t="e">
        <f aca="true" t="shared" si="8" ref="C27:L27">C13/180*$B$27/2</f>
        <v>#VALUE!</v>
      </c>
      <c r="D27" s="20">
        <f t="shared" si="8"/>
        <v>0</v>
      </c>
      <c r="E27" s="52">
        <f t="shared" si="8"/>
        <v>0</v>
      </c>
      <c r="F27" s="20">
        <f t="shared" si="8"/>
        <v>0</v>
      </c>
      <c r="G27" s="52">
        <f t="shared" si="8"/>
        <v>0</v>
      </c>
      <c r="H27" s="52">
        <f t="shared" si="8"/>
        <v>0</v>
      </c>
      <c r="I27" s="52">
        <f t="shared" si="8"/>
        <v>0</v>
      </c>
      <c r="J27" s="52">
        <f t="shared" si="8"/>
        <v>0</v>
      </c>
      <c r="K27" s="52">
        <f t="shared" si="8"/>
        <v>0</v>
      </c>
      <c r="L27" s="52">
        <f t="shared" si="8"/>
        <v>0</v>
      </c>
    </row>
    <row r="28" spans="1:12" ht="13.5" hidden="1" thickTop="1">
      <c r="A28" s="26" t="s">
        <v>44</v>
      </c>
      <c r="B28" s="74">
        <v>0</v>
      </c>
      <c r="C28" s="52">
        <f aca="true" t="shared" si="9" ref="C28:L28">C19/180*$B$28</f>
        <v>0</v>
      </c>
      <c r="D28" s="20">
        <f t="shared" si="9"/>
        <v>0</v>
      </c>
      <c r="E28" s="52">
        <f t="shared" si="9"/>
        <v>0</v>
      </c>
      <c r="F28" s="20">
        <f t="shared" si="9"/>
        <v>0</v>
      </c>
      <c r="G28" s="52">
        <f t="shared" si="9"/>
        <v>0</v>
      </c>
      <c r="H28" s="52">
        <f t="shared" si="9"/>
        <v>0</v>
      </c>
      <c r="I28" s="52">
        <f t="shared" si="9"/>
        <v>0</v>
      </c>
      <c r="J28" s="52">
        <f t="shared" si="9"/>
        <v>0</v>
      </c>
      <c r="K28" s="52">
        <f t="shared" si="9"/>
        <v>0</v>
      </c>
      <c r="L28" s="52">
        <f t="shared" si="9"/>
        <v>0</v>
      </c>
    </row>
    <row r="29" spans="1:12" ht="13.5" hidden="1" thickTop="1">
      <c r="A29" s="26" t="s">
        <v>45</v>
      </c>
      <c r="B29" s="74">
        <v>0</v>
      </c>
      <c r="C29" s="52">
        <f aca="true" t="shared" si="10" ref="C29:L29">C19/180*$B$29</f>
        <v>0</v>
      </c>
      <c r="D29" s="20">
        <f t="shared" si="10"/>
        <v>0</v>
      </c>
      <c r="E29" s="52">
        <f t="shared" si="10"/>
        <v>0</v>
      </c>
      <c r="F29" s="20">
        <f t="shared" si="10"/>
        <v>0</v>
      </c>
      <c r="G29" s="52">
        <f t="shared" si="10"/>
        <v>0</v>
      </c>
      <c r="H29" s="52">
        <f t="shared" si="10"/>
        <v>0</v>
      </c>
      <c r="I29" s="52">
        <f t="shared" si="10"/>
        <v>0</v>
      </c>
      <c r="J29" s="52">
        <f t="shared" si="10"/>
        <v>0</v>
      </c>
      <c r="K29" s="52">
        <f t="shared" si="10"/>
        <v>0</v>
      </c>
      <c r="L29" s="52">
        <f t="shared" si="10"/>
        <v>0</v>
      </c>
    </row>
    <row r="30" spans="1:12" ht="13.5" hidden="1" thickTop="1">
      <c r="A30" s="26" t="s">
        <v>46</v>
      </c>
      <c r="B30" s="74">
        <v>0</v>
      </c>
      <c r="C30" s="52">
        <f aca="true" t="shared" si="11" ref="C30:L30">C6/180*$B$30*(1-$B$25)</f>
        <v>0</v>
      </c>
      <c r="D30" s="20">
        <f t="shared" si="11"/>
        <v>0</v>
      </c>
      <c r="E30" s="52">
        <f t="shared" si="11"/>
        <v>0</v>
      </c>
      <c r="F30" s="20">
        <f t="shared" si="11"/>
        <v>0</v>
      </c>
      <c r="G30" s="52">
        <f t="shared" si="11"/>
        <v>0</v>
      </c>
      <c r="H30" s="52">
        <f t="shared" si="11"/>
        <v>0</v>
      </c>
      <c r="I30" s="52">
        <f t="shared" si="11"/>
        <v>0</v>
      </c>
      <c r="J30" s="52">
        <f t="shared" si="11"/>
        <v>0</v>
      </c>
      <c r="K30" s="52">
        <f t="shared" si="11"/>
        <v>0</v>
      </c>
      <c r="L30" s="52">
        <f t="shared" si="11"/>
        <v>0</v>
      </c>
    </row>
    <row r="31" spans="1:12" ht="13.5" hidden="1" thickTop="1">
      <c r="A31" s="26" t="s">
        <v>47</v>
      </c>
      <c r="B31" s="74">
        <v>0</v>
      </c>
      <c r="C31" s="75">
        <f aca="true" t="shared" si="12" ref="C31:K31">D19/180*$B$26*$B$31</f>
        <v>0</v>
      </c>
      <c r="D31" s="147">
        <f t="shared" si="12"/>
        <v>0</v>
      </c>
      <c r="E31" s="75">
        <f t="shared" si="12"/>
        <v>0</v>
      </c>
      <c r="F31" s="147">
        <f t="shared" si="12"/>
        <v>0</v>
      </c>
      <c r="G31" s="75">
        <f t="shared" si="12"/>
        <v>0</v>
      </c>
      <c r="H31" s="75">
        <f t="shared" si="12"/>
        <v>0</v>
      </c>
      <c r="I31" s="75">
        <f t="shared" si="12"/>
        <v>0</v>
      </c>
      <c r="J31" s="75">
        <f t="shared" si="12"/>
        <v>0</v>
      </c>
      <c r="K31" s="75">
        <f t="shared" si="12"/>
        <v>0</v>
      </c>
      <c r="L31" s="75">
        <f>K31</f>
        <v>0</v>
      </c>
    </row>
    <row r="32" spans="1:12" ht="13.5" hidden="1" thickTop="1">
      <c r="A32" s="93" t="s">
        <v>55</v>
      </c>
      <c r="B32" s="77"/>
      <c r="C32" s="78" t="e">
        <f aca="true" t="shared" si="13" ref="C32:L32">SUM(C27:C31)</f>
        <v>#VALUE!</v>
      </c>
      <c r="D32" s="78">
        <f t="shared" si="13"/>
        <v>0</v>
      </c>
      <c r="E32" s="78">
        <f t="shared" si="13"/>
        <v>0</v>
      </c>
      <c r="F32" s="78">
        <f t="shared" si="13"/>
        <v>0</v>
      </c>
      <c r="G32" s="78">
        <f t="shared" si="13"/>
        <v>0</v>
      </c>
      <c r="H32" s="78">
        <f t="shared" si="13"/>
        <v>0</v>
      </c>
      <c r="I32" s="78">
        <f t="shared" si="13"/>
        <v>0</v>
      </c>
      <c r="J32" s="78">
        <f t="shared" si="13"/>
        <v>0</v>
      </c>
      <c r="K32" s="78">
        <f t="shared" si="13"/>
        <v>0</v>
      </c>
      <c r="L32" s="78">
        <f t="shared" si="13"/>
        <v>0</v>
      </c>
    </row>
    <row r="33" spans="1:12" ht="13.5" hidden="1" thickTop="1">
      <c r="A33" s="26" t="s">
        <v>48</v>
      </c>
      <c r="B33" s="74">
        <v>0</v>
      </c>
      <c r="C33" s="52">
        <f aca="true" t="shared" si="14" ref="C33:L33">C19/180*$B$33*(1-$B$26)</f>
        <v>0</v>
      </c>
      <c r="D33" s="20">
        <f t="shared" si="14"/>
        <v>0</v>
      </c>
      <c r="E33" s="52">
        <f t="shared" si="14"/>
        <v>0</v>
      </c>
      <c r="F33" s="20">
        <f t="shared" si="14"/>
        <v>0</v>
      </c>
      <c r="G33" s="52">
        <f t="shared" si="14"/>
        <v>0</v>
      </c>
      <c r="H33" s="52">
        <f t="shared" si="14"/>
        <v>0</v>
      </c>
      <c r="I33" s="52">
        <f t="shared" si="14"/>
        <v>0</v>
      </c>
      <c r="J33" s="52">
        <f t="shared" si="14"/>
        <v>0</v>
      </c>
      <c r="K33" s="52">
        <f t="shared" si="14"/>
        <v>0</v>
      </c>
      <c r="L33" s="52">
        <f t="shared" si="14"/>
        <v>0</v>
      </c>
    </row>
    <row r="34" spans="1:12" ht="13.5" hidden="1" thickTop="1">
      <c r="A34" s="32" t="s">
        <v>49</v>
      </c>
      <c r="B34" s="74">
        <v>0</v>
      </c>
      <c r="C34" s="75">
        <f aca="true" t="shared" si="15" ref="C34:K34">D6/180*$B$34*$B$25</f>
        <v>0</v>
      </c>
      <c r="D34" s="147">
        <f t="shared" si="15"/>
        <v>0</v>
      </c>
      <c r="E34" s="75">
        <f t="shared" si="15"/>
        <v>0</v>
      </c>
      <c r="F34" s="147">
        <f t="shared" si="15"/>
        <v>0</v>
      </c>
      <c r="G34" s="75">
        <f t="shared" si="15"/>
        <v>0</v>
      </c>
      <c r="H34" s="75">
        <f t="shared" si="15"/>
        <v>0</v>
      </c>
      <c r="I34" s="75">
        <f t="shared" si="15"/>
        <v>0</v>
      </c>
      <c r="J34" s="75">
        <f t="shared" si="15"/>
        <v>0</v>
      </c>
      <c r="K34" s="75">
        <f t="shared" si="15"/>
        <v>0</v>
      </c>
      <c r="L34" s="75">
        <f>K34</f>
        <v>0</v>
      </c>
    </row>
    <row r="35" spans="1:12" ht="13.5" hidden="1" thickTop="1">
      <c r="A35" s="9" t="s">
        <v>50</v>
      </c>
      <c r="B35" s="74">
        <v>0</v>
      </c>
      <c r="C35" s="52">
        <f aca="true" t="shared" si="16" ref="C35:L35">C6/180*$B$35/2</f>
        <v>0</v>
      </c>
      <c r="D35" s="20">
        <f t="shared" si="16"/>
        <v>0</v>
      </c>
      <c r="E35" s="52">
        <f t="shared" si="16"/>
        <v>0</v>
      </c>
      <c r="F35" s="20">
        <f t="shared" si="16"/>
        <v>0</v>
      </c>
      <c r="G35" s="52">
        <f t="shared" si="16"/>
        <v>0</v>
      </c>
      <c r="H35" s="52">
        <f t="shared" si="16"/>
        <v>0</v>
      </c>
      <c r="I35" s="52">
        <f t="shared" si="16"/>
        <v>0</v>
      </c>
      <c r="J35" s="52">
        <f t="shared" si="16"/>
        <v>0</v>
      </c>
      <c r="K35" s="52">
        <f t="shared" si="16"/>
        <v>0</v>
      </c>
      <c r="L35" s="52">
        <f t="shared" si="16"/>
        <v>0</v>
      </c>
    </row>
    <row r="36" spans="1:12" ht="13.5" hidden="1" thickTop="1">
      <c r="A36" s="26" t="s">
        <v>51</v>
      </c>
      <c r="B36" s="74">
        <v>0</v>
      </c>
      <c r="C36" s="52">
        <f aca="true" t="shared" si="17" ref="C36:L36">C19/180*vat2/2</f>
        <v>0</v>
      </c>
      <c r="D36" s="20">
        <f t="shared" si="17"/>
        <v>0</v>
      </c>
      <c r="E36" s="52">
        <f t="shared" si="17"/>
        <v>0</v>
      </c>
      <c r="F36" s="20">
        <f t="shared" si="17"/>
        <v>0</v>
      </c>
      <c r="G36" s="52">
        <f t="shared" si="17"/>
        <v>0</v>
      </c>
      <c r="H36" s="52">
        <f t="shared" si="17"/>
        <v>0</v>
      </c>
      <c r="I36" s="52">
        <f t="shared" si="17"/>
        <v>0</v>
      </c>
      <c r="J36" s="52">
        <f t="shared" si="17"/>
        <v>0</v>
      </c>
      <c r="K36" s="52">
        <f t="shared" si="17"/>
        <v>0</v>
      </c>
      <c r="L36" s="52">
        <f t="shared" si="17"/>
        <v>0</v>
      </c>
    </row>
    <row r="37" spans="1:12" ht="13.5" hidden="1" thickTop="1">
      <c r="A37" s="79" t="s">
        <v>56</v>
      </c>
      <c r="B37" s="80"/>
      <c r="C37" s="81">
        <f aca="true" t="shared" si="18" ref="C37:L37">SUM(C33:C36)</f>
        <v>0</v>
      </c>
      <c r="D37" s="96">
        <f t="shared" si="18"/>
        <v>0</v>
      </c>
      <c r="E37" s="81">
        <f t="shared" si="18"/>
        <v>0</v>
      </c>
      <c r="F37" s="96">
        <f t="shared" si="18"/>
        <v>0</v>
      </c>
      <c r="G37" s="81">
        <f t="shared" si="18"/>
        <v>0</v>
      </c>
      <c r="H37" s="81">
        <f t="shared" si="18"/>
        <v>0</v>
      </c>
      <c r="I37" s="81">
        <f t="shared" si="18"/>
        <v>0</v>
      </c>
      <c r="J37" s="81">
        <f t="shared" si="18"/>
        <v>0</v>
      </c>
      <c r="K37" s="81">
        <f t="shared" si="18"/>
        <v>0</v>
      </c>
      <c r="L37" s="81">
        <f t="shared" si="18"/>
        <v>0</v>
      </c>
    </row>
    <row r="38" spans="1:12" ht="13.5" hidden="1" thickTop="1">
      <c r="A38" s="76" t="s">
        <v>57</v>
      </c>
      <c r="B38" s="97"/>
      <c r="C38" s="78" t="e">
        <f aca="true" t="shared" si="19" ref="C38:L38">C32-C37</f>
        <v>#VALUE!</v>
      </c>
      <c r="D38" s="78">
        <f t="shared" si="19"/>
        <v>0</v>
      </c>
      <c r="E38" s="78">
        <f t="shared" si="19"/>
        <v>0</v>
      </c>
      <c r="F38" s="78">
        <f t="shared" si="19"/>
        <v>0</v>
      </c>
      <c r="G38" s="78">
        <f t="shared" si="19"/>
        <v>0</v>
      </c>
      <c r="H38" s="78">
        <f t="shared" si="19"/>
        <v>0</v>
      </c>
      <c r="I38" s="78">
        <f t="shared" si="19"/>
        <v>0</v>
      </c>
      <c r="J38" s="78">
        <f t="shared" si="19"/>
        <v>0</v>
      </c>
      <c r="K38" s="78">
        <f t="shared" si="19"/>
        <v>0</v>
      </c>
      <c r="L38" s="78">
        <f t="shared" si="19"/>
        <v>0</v>
      </c>
    </row>
    <row r="39" spans="1:13" ht="8.25" customHeight="1" hidden="1">
      <c r="A39" s="94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102"/>
    </row>
    <row r="40" spans="1:12" ht="14.25" hidden="1" thickBot="1" thickTop="1">
      <c r="A40" s="100" t="s">
        <v>58</v>
      </c>
      <c r="B40" s="82"/>
      <c r="C40" s="83">
        <v>0</v>
      </c>
      <c r="D40" s="83" t="e">
        <f aca="true" t="shared" si="20" ref="D40:L40">D38-C38</f>
        <v>#VALUE!</v>
      </c>
      <c r="E40" s="83">
        <f t="shared" si="20"/>
        <v>0</v>
      </c>
      <c r="F40" s="83">
        <f t="shared" si="20"/>
        <v>0</v>
      </c>
      <c r="G40" s="83">
        <f t="shared" si="20"/>
        <v>0</v>
      </c>
      <c r="H40" s="83">
        <f t="shared" si="20"/>
        <v>0</v>
      </c>
      <c r="I40" s="83">
        <f t="shared" si="20"/>
        <v>0</v>
      </c>
      <c r="J40" s="83">
        <f t="shared" si="20"/>
        <v>0</v>
      </c>
      <c r="K40" s="83">
        <f t="shared" si="20"/>
        <v>0</v>
      </c>
      <c r="L40" s="83">
        <f t="shared" si="20"/>
        <v>0</v>
      </c>
    </row>
    <row r="41" ht="13.5" thickTop="1">
      <c r="D41" s="102"/>
    </row>
    <row r="42" ht="13.5" thickBot="1">
      <c r="D42" s="102"/>
    </row>
    <row r="43" spans="1:83" s="3" customFormat="1" ht="13.5" thickBot="1">
      <c r="A43" s="43" t="s">
        <v>59</v>
      </c>
      <c r="B43" s="167"/>
      <c r="C43" s="44" t="s">
        <v>96</v>
      </c>
      <c r="D43" s="44" t="s">
        <v>97</v>
      </c>
      <c r="E43" s="44" t="s">
        <v>98</v>
      </c>
      <c r="F43" s="44" t="s">
        <v>105</v>
      </c>
      <c r="G43" s="44" t="s">
        <v>103</v>
      </c>
      <c r="H43" s="44" t="s">
        <v>106</v>
      </c>
      <c r="I43" s="44" t="s">
        <v>107</v>
      </c>
      <c r="J43" s="44" t="s">
        <v>108</v>
      </c>
      <c r="K43" s="44" t="s">
        <v>109</v>
      </c>
      <c r="L43" s="44" t="s">
        <v>110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s="3" customFormat="1" ht="13.5" customHeight="1">
      <c r="A44" s="9" t="s">
        <v>67</v>
      </c>
      <c r="B44" s="16"/>
      <c r="C44" s="52">
        <v>20000</v>
      </c>
      <c r="D44" s="52">
        <v>0</v>
      </c>
      <c r="E44" s="52">
        <v>0</v>
      </c>
      <c r="F44" s="20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s="3" customFormat="1" ht="13.5" customHeight="1">
      <c r="A45" s="50" t="s">
        <v>41</v>
      </c>
      <c r="B45" s="105">
        <v>0.038400000000000004</v>
      </c>
      <c r="C45" s="3">
        <v>0</v>
      </c>
      <c r="D45" s="58">
        <f>SUM($C$44:$F$44)/1.18*$B$45/2</f>
        <v>325.42372881355936</v>
      </c>
      <c r="E45" s="58">
        <f>SUM($C$44:$F$44)/1.18*$B$45/2</f>
        <v>325.42372881355936</v>
      </c>
      <c r="F45" s="58">
        <f>SUM($C$44:$F$44)/1.18*$B$45/2</f>
        <v>325.42372881355936</v>
      </c>
      <c r="G45" s="58">
        <f aca="true" t="shared" si="21" ref="G45:L45">SUM($C$44:$F$44)/1.18*$B$45/2</f>
        <v>325.42372881355936</v>
      </c>
      <c r="H45" s="58">
        <f t="shared" si="21"/>
        <v>325.42372881355936</v>
      </c>
      <c r="I45" s="58">
        <f t="shared" si="21"/>
        <v>325.42372881355936</v>
      </c>
      <c r="J45" s="58">
        <f t="shared" si="21"/>
        <v>325.42372881355936</v>
      </c>
      <c r="K45" s="58">
        <f t="shared" si="21"/>
        <v>325.42372881355936</v>
      </c>
      <c r="L45" s="58">
        <f t="shared" si="21"/>
        <v>325.42372881355936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12" ht="13.5" thickBot="1">
      <c r="A46" s="103" t="s">
        <v>68</v>
      </c>
      <c r="B46" s="163" t="s">
        <v>100</v>
      </c>
      <c r="C46" s="106">
        <f>C44/1.18</f>
        <v>16949.15254237288</v>
      </c>
      <c r="D46" s="106">
        <f>C46+D44/1.18-D45</f>
        <v>16623.728813559323</v>
      </c>
      <c r="E46" s="106">
        <f aca="true" t="shared" si="22" ref="E46:L46">D46+E44-E45</f>
        <v>16298.305084745763</v>
      </c>
      <c r="F46" s="106">
        <f t="shared" si="22"/>
        <v>15972.881355932204</v>
      </c>
      <c r="G46" s="106">
        <f t="shared" si="22"/>
        <v>15647.457627118645</v>
      </c>
      <c r="H46" s="106">
        <f t="shared" si="22"/>
        <v>15322.033898305086</v>
      </c>
      <c r="I46" s="106">
        <f t="shared" si="22"/>
        <v>14996.610169491527</v>
      </c>
      <c r="J46" s="106">
        <f t="shared" si="22"/>
        <v>14671.186440677968</v>
      </c>
      <c r="K46" s="106">
        <f t="shared" si="22"/>
        <v>14345.762711864409</v>
      </c>
      <c r="L46" s="106">
        <f t="shared" si="22"/>
        <v>14020.33898305085</v>
      </c>
    </row>
    <row r="47" spans="1:4" ht="13.5" thickTop="1">
      <c r="A47" s="8"/>
      <c r="D47" s="102"/>
    </row>
    <row r="48" spans="1:4" ht="12.75">
      <c r="A48" s="8"/>
      <c r="D48" s="102"/>
    </row>
    <row r="49" ht="9.75" customHeight="1" thickBot="1">
      <c r="D49" s="102"/>
    </row>
    <row r="50" spans="1:83" s="3" customFormat="1" ht="13.5" thickBot="1">
      <c r="A50" s="43" t="s">
        <v>92</v>
      </c>
      <c r="B50" s="167"/>
      <c r="C50" s="44" t="s">
        <v>96</v>
      </c>
      <c r="D50" s="44" t="s">
        <v>97</v>
      </c>
      <c r="E50" s="44" t="s">
        <v>98</v>
      </c>
      <c r="F50" s="44" t="s">
        <v>105</v>
      </c>
      <c r="G50" s="44" t="s">
        <v>103</v>
      </c>
      <c r="H50" s="44" t="s">
        <v>106</v>
      </c>
      <c r="I50" s="44" t="s">
        <v>107</v>
      </c>
      <c r="J50" s="44" t="s">
        <v>108</v>
      </c>
      <c r="K50" s="44" t="s">
        <v>109</v>
      </c>
      <c r="L50" s="44" t="s">
        <v>110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 s="3" customFormat="1" ht="13.5" customHeight="1">
      <c r="A51" s="9" t="s">
        <v>1</v>
      </c>
      <c r="B51" s="16"/>
      <c r="C51" s="52">
        <f aca="true" t="shared" si="23" ref="C51:L51">C6</f>
        <v>0</v>
      </c>
      <c r="D51" s="20">
        <f t="shared" si="23"/>
        <v>0</v>
      </c>
      <c r="E51" s="52">
        <f t="shared" si="23"/>
        <v>0</v>
      </c>
      <c r="F51" s="20">
        <f t="shared" si="23"/>
        <v>0</v>
      </c>
      <c r="G51" s="52">
        <f t="shared" si="23"/>
        <v>0</v>
      </c>
      <c r="H51" s="52">
        <f t="shared" si="23"/>
        <v>0</v>
      </c>
      <c r="I51" s="52">
        <f t="shared" si="23"/>
        <v>0</v>
      </c>
      <c r="J51" s="52">
        <f t="shared" si="23"/>
        <v>0</v>
      </c>
      <c r="K51" s="52">
        <f t="shared" si="23"/>
        <v>0</v>
      </c>
      <c r="L51" s="52">
        <f t="shared" si="23"/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s="3" customFormat="1" ht="13.5" customHeight="1">
      <c r="A52" s="9" t="s">
        <v>117</v>
      </c>
      <c r="B52" s="57"/>
      <c r="C52" s="52">
        <f aca="true" t="shared" si="24" ref="C52:L52">-(C19-C17)</f>
        <v>0</v>
      </c>
      <c r="D52" s="20">
        <f t="shared" si="24"/>
        <v>5925.423728813559</v>
      </c>
      <c r="E52" s="52">
        <f t="shared" si="24"/>
        <v>5925.423728813559</v>
      </c>
      <c r="F52" s="20">
        <f t="shared" si="24"/>
        <v>5925.423728813559</v>
      </c>
      <c r="G52" s="52">
        <f t="shared" si="24"/>
        <v>5925.423728813559</v>
      </c>
      <c r="H52" s="52">
        <f t="shared" si="24"/>
        <v>5925.423728813559</v>
      </c>
      <c r="I52" s="52">
        <f t="shared" si="24"/>
        <v>5925.423728813559</v>
      </c>
      <c r="J52" s="52">
        <f t="shared" si="24"/>
        <v>5925.423728813559</v>
      </c>
      <c r="K52" s="52">
        <f t="shared" si="24"/>
        <v>5925.423728813559</v>
      </c>
      <c r="L52" s="52">
        <f t="shared" si="24"/>
        <v>5925.423728813559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s="3" customFormat="1" ht="13.5" customHeight="1">
      <c r="A53" s="9" t="s">
        <v>2</v>
      </c>
      <c r="B53" s="16"/>
      <c r="C53" s="52">
        <v>10000</v>
      </c>
      <c r="D53" s="20">
        <v>0</v>
      </c>
      <c r="E53" s="52">
        <v>0</v>
      </c>
      <c r="F53" s="148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s="140" customFormat="1" ht="13.5" customHeight="1">
      <c r="A54" s="138" t="s">
        <v>8</v>
      </c>
      <c r="B54" s="42"/>
      <c r="C54" s="52">
        <v>10000</v>
      </c>
      <c r="D54" s="20">
        <v>0</v>
      </c>
      <c r="E54" s="52">
        <v>0</v>
      </c>
      <c r="F54" s="20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</row>
    <row r="55" spans="1:83" s="5" customFormat="1" ht="13.5" customHeight="1">
      <c r="A55" s="10" t="s">
        <v>3</v>
      </c>
      <c r="B55" s="17"/>
      <c r="C55" s="78">
        <f aca="true" t="shared" si="25" ref="C55:L55">SUM(C51:C54)</f>
        <v>20000</v>
      </c>
      <c r="D55" s="78">
        <f t="shared" si="25"/>
        <v>5925.423728813559</v>
      </c>
      <c r="E55" s="78">
        <f t="shared" si="25"/>
        <v>5925.423728813559</v>
      </c>
      <c r="F55" s="111">
        <f t="shared" si="25"/>
        <v>5925.423728813559</v>
      </c>
      <c r="G55" s="111">
        <f t="shared" si="25"/>
        <v>5925.423728813559</v>
      </c>
      <c r="H55" s="111">
        <f t="shared" si="25"/>
        <v>5925.423728813559</v>
      </c>
      <c r="I55" s="111">
        <f t="shared" si="25"/>
        <v>5925.423728813559</v>
      </c>
      <c r="J55" s="111">
        <f t="shared" si="25"/>
        <v>5925.423728813559</v>
      </c>
      <c r="K55" s="111">
        <f t="shared" si="25"/>
        <v>5925.423728813559</v>
      </c>
      <c r="L55" s="111">
        <f t="shared" si="25"/>
        <v>5925.423728813559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s="3" customFormat="1" ht="13.5" customHeight="1">
      <c r="A56" s="9" t="s">
        <v>62</v>
      </c>
      <c r="B56" s="16"/>
      <c r="C56" s="52">
        <f>-C44</f>
        <v>-20000</v>
      </c>
      <c r="D56" s="20">
        <f>-D44</f>
        <v>0</v>
      </c>
      <c r="E56" s="52">
        <f>-E44</f>
        <v>0</v>
      </c>
      <c r="F56" s="20">
        <f>-F44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s="3" customFormat="1" ht="13.5" customHeight="1">
      <c r="A57" s="9" t="s">
        <v>63</v>
      </c>
      <c r="B57" s="16"/>
      <c r="C57" s="52">
        <f>-C40</f>
        <v>0</v>
      </c>
      <c r="D57" s="20">
        <v>0</v>
      </c>
      <c r="E57" s="52">
        <f aca="true" t="shared" si="26" ref="E57:L57">-E40</f>
        <v>0</v>
      </c>
      <c r="F57" s="20">
        <f t="shared" si="26"/>
        <v>0</v>
      </c>
      <c r="G57" s="52">
        <f t="shared" si="26"/>
        <v>0</v>
      </c>
      <c r="H57" s="52">
        <f t="shared" si="26"/>
        <v>0</v>
      </c>
      <c r="I57" s="52">
        <f t="shared" si="26"/>
        <v>0</v>
      </c>
      <c r="J57" s="52">
        <f t="shared" si="26"/>
        <v>0</v>
      </c>
      <c r="K57" s="52">
        <f t="shared" si="26"/>
        <v>0</v>
      </c>
      <c r="L57" s="52">
        <f t="shared" si="26"/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s="3" customFormat="1" ht="13.5" customHeight="1" hidden="1">
      <c r="A58" s="9" t="s">
        <v>64</v>
      </c>
      <c r="B58" s="121">
        <v>0</v>
      </c>
      <c r="C58" s="110">
        <f aca="true" t="shared" si="27" ref="C58:L58">-$B$58*C51</f>
        <v>0</v>
      </c>
      <c r="D58" s="148">
        <f t="shared" si="27"/>
        <v>0</v>
      </c>
      <c r="E58" s="110">
        <f t="shared" si="27"/>
        <v>0</v>
      </c>
      <c r="F58" s="148">
        <f t="shared" si="27"/>
        <v>0</v>
      </c>
      <c r="G58" s="110">
        <f t="shared" si="27"/>
        <v>0</v>
      </c>
      <c r="H58" s="110">
        <f t="shared" si="27"/>
        <v>0</v>
      </c>
      <c r="I58" s="110">
        <f t="shared" si="27"/>
        <v>0</v>
      </c>
      <c r="J58" s="110">
        <f t="shared" si="27"/>
        <v>0</v>
      </c>
      <c r="K58" s="110">
        <f t="shared" si="27"/>
        <v>0</v>
      </c>
      <c r="L58" s="110">
        <f t="shared" si="27"/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s="3" customFormat="1" ht="13.5" customHeight="1">
      <c r="A59" s="9" t="s">
        <v>65</v>
      </c>
      <c r="B59" s="184">
        <v>0.022</v>
      </c>
      <c r="C59" s="110">
        <v>0</v>
      </c>
      <c r="D59" s="110">
        <f>-$B$59*D46*180/360</f>
        <v>-182.86101694915254</v>
      </c>
      <c r="E59" s="110">
        <f aca="true" t="shared" si="28" ref="E59:L59">-$B$59*E46*180/360</f>
        <v>-179.28135593220338</v>
      </c>
      <c r="F59" s="110">
        <f t="shared" si="28"/>
        <v>-175.70169491525425</v>
      </c>
      <c r="G59" s="110">
        <f t="shared" si="28"/>
        <v>-172.1220338983051</v>
      </c>
      <c r="H59" s="110">
        <f t="shared" si="28"/>
        <v>-168.54237288135593</v>
      </c>
      <c r="I59" s="110">
        <f t="shared" si="28"/>
        <v>-164.9627118644068</v>
      </c>
      <c r="J59" s="110">
        <f t="shared" si="28"/>
        <v>-161.38305084745764</v>
      </c>
      <c r="K59" s="110">
        <f t="shared" si="28"/>
        <v>-157.80338983050848</v>
      </c>
      <c r="L59" s="110">
        <f t="shared" si="28"/>
        <v>-154.22372881355935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s="140" customFormat="1" ht="13.5" customHeight="1">
      <c r="A60" s="138" t="s">
        <v>60</v>
      </c>
      <c r="B60" s="141">
        <v>0.17</v>
      </c>
      <c r="C60" s="52">
        <v>0</v>
      </c>
      <c r="D60" s="20">
        <f>-$B60*((SUM($C54:C54)+SUM($C63:C63))*180/360)</f>
        <v>-850.0000000000001</v>
      </c>
      <c r="E60" s="20">
        <f>-$B60*((SUM($C54:D54)+SUM($C63:D63))*180/360)</f>
        <v>-680</v>
      </c>
      <c r="F60" s="20">
        <f>-$B60*((SUM($C54:E54)+SUM($C63:E63))*180/360)</f>
        <v>-510.00000000000006</v>
      </c>
      <c r="G60" s="20">
        <f>-$B60*((SUM($C54:F54)+SUM($C63:F63))*180/360)</f>
        <v>-340</v>
      </c>
      <c r="H60" s="20">
        <f>-$B60*((SUM($C54:G54)+SUM($C63:G63))*180/360)</f>
        <v>-170</v>
      </c>
      <c r="I60" s="20">
        <f>-$B60*((SUM($C54:H54)+SUM($C63:H63))*180/360)</f>
        <v>0</v>
      </c>
      <c r="J60" s="20">
        <f>-$B60*((SUM($C54:I54)+SUM($C63:I63))*180/360)</f>
        <v>0</v>
      </c>
      <c r="K60" s="20">
        <f>-$B60*((SUM($C54:J54)+SUM($C63:J63))*180/360)</f>
        <v>0</v>
      </c>
      <c r="L60" s="20">
        <f>-$B60*((SUM($C54:K54)+SUM($C63:K63))*180/360)</f>
        <v>0</v>
      </c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</row>
    <row r="61" spans="1:83" s="3" customFormat="1" ht="13.5" customHeight="1">
      <c r="A61" s="11" t="s">
        <v>4</v>
      </c>
      <c r="B61" s="108" t="s">
        <v>0</v>
      </c>
      <c r="C61" s="6">
        <f>C51+C52+C59+C60</f>
        <v>0</v>
      </c>
      <c r="D61" s="6">
        <f aca="true" t="shared" si="29" ref="D61:L61">D51+D52+D59+D60</f>
        <v>4892.562711864407</v>
      </c>
      <c r="E61" s="6">
        <f t="shared" si="29"/>
        <v>5066.142372881356</v>
      </c>
      <c r="F61" s="6">
        <f t="shared" si="29"/>
        <v>5239.722033898305</v>
      </c>
      <c r="G61" s="6">
        <f t="shared" si="29"/>
        <v>5413.301694915254</v>
      </c>
      <c r="H61" s="6">
        <f t="shared" si="29"/>
        <v>5586.881355932203</v>
      </c>
      <c r="I61" s="6">
        <f t="shared" si="29"/>
        <v>5760.4610169491525</v>
      </c>
      <c r="J61" s="6">
        <f t="shared" si="29"/>
        <v>5764.040677966102</v>
      </c>
      <c r="K61" s="6">
        <f t="shared" si="29"/>
        <v>5767.620338983051</v>
      </c>
      <c r="L61" s="6">
        <f t="shared" si="29"/>
        <v>5771.2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s="3" customFormat="1" ht="13.5" customHeight="1">
      <c r="A62" s="9" t="s">
        <v>66</v>
      </c>
      <c r="B62" s="142">
        <v>0.24</v>
      </c>
      <c r="C62" s="110">
        <f>-MAX(0,$B$62*C61)</f>
        <v>0</v>
      </c>
      <c r="D62" s="148">
        <f aca="true" t="shared" si="30" ref="D62:L62">-MAX(0,$B$62*D61)</f>
        <v>-1174.2150508474576</v>
      </c>
      <c r="E62" s="110">
        <f t="shared" si="30"/>
        <v>-1215.8741694915254</v>
      </c>
      <c r="F62" s="148">
        <f t="shared" si="30"/>
        <v>-1257.5332881355932</v>
      </c>
      <c r="G62" s="110">
        <f t="shared" si="30"/>
        <v>-1299.192406779661</v>
      </c>
      <c r="H62" s="110">
        <f t="shared" si="30"/>
        <v>-1340.8515254237288</v>
      </c>
      <c r="I62" s="110">
        <f t="shared" si="30"/>
        <v>-1382.5106440677966</v>
      </c>
      <c r="J62" s="110">
        <f t="shared" si="30"/>
        <v>-1383.3697627118643</v>
      </c>
      <c r="K62" s="110">
        <f t="shared" si="30"/>
        <v>-1384.2288813559321</v>
      </c>
      <c r="L62" s="110">
        <f t="shared" si="30"/>
        <v>-1385.088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s="140" customFormat="1" ht="13.5" customHeight="1">
      <c r="A63" s="138" t="s">
        <v>9</v>
      </c>
      <c r="B63" s="42"/>
      <c r="C63" s="52">
        <v>0</v>
      </c>
      <c r="D63" s="20">
        <v>-2000</v>
      </c>
      <c r="E63" s="52">
        <v>-2000</v>
      </c>
      <c r="F63" s="52">
        <v>-2000</v>
      </c>
      <c r="G63" s="52">
        <v>-2000</v>
      </c>
      <c r="H63" s="52">
        <v>-2000</v>
      </c>
      <c r="I63" s="42">
        <v>0</v>
      </c>
      <c r="J63" s="42">
        <v>0</v>
      </c>
      <c r="K63" s="42">
        <v>0</v>
      </c>
      <c r="L63" s="42">
        <v>0</v>
      </c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</row>
    <row r="64" spans="1:83" s="5" customFormat="1" ht="12.75">
      <c r="A64" s="10" t="s">
        <v>5</v>
      </c>
      <c r="B64" s="17"/>
      <c r="C64" s="111">
        <f aca="true" t="shared" si="31" ref="C64:L64">SUM(C56:C60)+C62+C63</f>
        <v>-20000</v>
      </c>
      <c r="D64" s="111">
        <f t="shared" si="31"/>
        <v>-4207.07606779661</v>
      </c>
      <c r="E64" s="111">
        <f t="shared" si="31"/>
        <v>-4075.1555254237287</v>
      </c>
      <c r="F64" s="111">
        <f t="shared" si="31"/>
        <v>-3943.2349830508474</v>
      </c>
      <c r="G64" s="111">
        <f t="shared" si="31"/>
        <v>-3811.314440677966</v>
      </c>
      <c r="H64" s="111">
        <f t="shared" si="31"/>
        <v>-3679.393898305085</v>
      </c>
      <c r="I64" s="111">
        <f t="shared" si="31"/>
        <v>-1547.4733559322035</v>
      </c>
      <c r="J64" s="111">
        <f t="shared" si="31"/>
        <v>-1544.752813559322</v>
      </c>
      <c r="K64" s="111">
        <f t="shared" si="31"/>
        <v>-1542.0322711864405</v>
      </c>
      <c r="L64" s="111">
        <f t="shared" si="31"/>
        <v>-1539.3117288135593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s="3" customFormat="1" ht="12.75">
      <c r="A65" s="12" t="s">
        <v>6</v>
      </c>
      <c r="B65" s="16"/>
      <c r="C65" s="110">
        <f aca="true" t="shared" si="32" ref="C65:L65">C55+C64</f>
        <v>0</v>
      </c>
      <c r="D65" s="148">
        <f t="shared" si="32"/>
        <v>1718.3476610169491</v>
      </c>
      <c r="E65" s="110">
        <f t="shared" si="32"/>
        <v>1850.2682033898304</v>
      </c>
      <c r="F65" s="148">
        <f t="shared" si="32"/>
        <v>1982.1887457627117</v>
      </c>
      <c r="G65" s="110">
        <f t="shared" si="32"/>
        <v>2114.109288135593</v>
      </c>
      <c r="H65" s="110">
        <f t="shared" si="32"/>
        <v>2246.0298305084743</v>
      </c>
      <c r="I65" s="110">
        <f t="shared" si="32"/>
        <v>4377.950372881356</v>
      </c>
      <c r="J65" s="110">
        <f t="shared" si="32"/>
        <v>4380.670915254237</v>
      </c>
      <c r="K65" s="110">
        <f t="shared" si="32"/>
        <v>4383.391457627118</v>
      </c>
      <c r="L65" s="110">
        <f t="shared" si="32"/>
        <v>4386.112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5" customFormat="1" ht="13.5" thickBot="1">
      <c r="A66" s="13" t="s">
        <v>7</v>
      </c>
      <c r="B66" s="18"/>
      <c r="C66" s="112">
        <f>C65</f>
        <v>0</v>
      </c>
      <c r="D66" s="112">
        <f aca="true" t="shared" si="33" ref="D66:L66">C66+D65</f>
        <v>1718.3476610169491</v>
      </c>
      <c r="E66" s="112">
        <f t="shared" si="33"/>
        <v>3568.6158644067796</v>
      </c>
      <c r="F66" s="112">
        <f t="shared" si="33"/>
        <v>5550.804610169491</v>
      </c>
      <c r="G66" s="112">
        <f t="shared" si="33"/>
        <v>7664.913898305083</v>
      </c>
      <c r="H66" s="112">
        <f t="shared" si="33"/>
        <v>9910.943728813558</v>
      </c>
      <c r="I66" s="112">
        <f t="shared" si="33"/>
        <v>14288.894101694914</v>
      </c>
      <c r="J66" s="112">
        <f t="shared" si="33"/>
        <v>18669.56501694915</v>
      </c>
      <c r="K66" s="112">
        <f t="shared" si="33"/>
        <v>23052.95647457627</v>
      </c>
      <c r="L66" s="112">
        <f t="shared" si="33"/>
        <v>27439.06847457627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4" ht="13.5" hidden="1" thickTop="1">
      <c r="A67" s="14"/>
      <c r="B67" s="15"/>
      <c r="D67" s="102"/>
    </row>
    <row r="68" spans="1:4" ht="13.5" hidden="1" thickTop="1">
      <c r="A68" s="14"/>
      <c r="B68" s="15"/>
      <c r="D68" s="102"/>
    </row>
    <row r="69" spans="1:4" ht="13.5" thickTop="1">
      <c r="A69" s="14"/>
      <c r="B69" s="15"/>
      <c r="D69" s="102"/>
    </row>
    <row r="70" ht="12.75">
      <c r="D70" s="102"/>
    </row>
    <row r="71" ht="13.5" thickBot="1">
      <c r="D71" s="102"/>
    </row>
    <row r="72" spans="1:12" ht="30.75" customHeight="1" thickBot="1">
      <c r="A72" s="43" t="s">
        <v>16</v>
      </c>
      <c r="B72" s="44"/>
      <c r="C72" s="44" t="s">
        <v>96</v>
      </c>
      <c r="D72" s="44" t="s">
        <v>97</v>
      </c>
      <c r="E72" s="44" t="s">
        <v>98</v>
      </c>
      <c r="F72" s="44" t="s">
        <v>105</v>
      </c>
      <c r="G72" s="44" t="s">
        <v>103</v>
      </c>
      <c r="H72" s="44" t="s">
        <v>106</v>
      </c>
      <c r="I72" s="44" t="s">
        <v>107</v>
      </c>
      <c r="J72" s="44" t="s">
        <v>108</v>
      </c>
      <c r="K72" s="44" t="s">
        <v>109</v>
      </c>
      <c r="L72" s="44" t="s">
        <v>110</v>
      </c>
    </row>
    <row r="73" spans="1:12" ht="12.75">
      <c r="A73" s="21"/>
      <c r="B73" s="22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2.75">
      <c r="A74" s="26" t="s">
        <v>10</v>
      </c>
      <c r="B74" s="19" t="s">
        <v>0</v>
      </c>
      <c r="C74" s="123">
        <f aca="true" t="shared" si="34" ref="C74:L74">C51++C57+C56+C52+C58+C59+C62</f>
        <v>-20000</v>
      </c>
      <c r="D74" s="149">
        <f t="shared" si="34"/>
        <v>4568.347661016949</v>
      </c>
      <c r="E74" s="123">
        <f t="shared" si="34"/>
        <v>4530.268203389831</v>
      </c>
      <c r="F74" s="149">
        <f t="shared" si="34"/>
        <v>4492.188745762712</v>
      </c>
      <c r="G74" s="123">
        <f t="shared" si="34"/>
        <v>4454.1092881355935</v>
      </c>
      <c r="H74" s="123">
        <f t="shared" si="34"/>
        <v>4416.029830508474</v>
      </c>
      <c r="I74" s="123">
        <f t="shared" si="34"/>
        <v>4377.950372881356</v>
      </c>
      <c r="J74" s="123">
        <f t="shared" si="34"/>
        <v>4380.670915254237</v>
      </c>
      <c r="K74" s="123">
        <f t="shared" si="34"/>
        <v>4383.391457627118</v>
      </c>
      <c r="L74" s="123">
        <f t="shared" si="34"/>
        <v>4386.112</v>
      </c>
    </row>
    <row r="75" spans="1:12" ht="12.75">
      <c r="A75" s="26" t="s">
        <v>11</v>
      </c>
      <c r="B75" s="23"/>
      <c r="C75" s="123">
        <f>C74-0.000001</f>
        <v>-20000.000001</v>
      </c>
      <c r="D75" s="149">
        <f aca="true" t="shared" si="35" ref="D75:L75">C75+D74</f>
        <v>-15431.652339983051</v>
      </c>
      <c r="E75" s="123">
        <f t="shared" si="35"/>
        <v>-10901.38413659322</v>
      </c>
      <c r="F75" s="149">
        <f t="shared" si="35"/>
        <v>-6409.195390830509</v>
      </c>
      <c r="G75" s="123">
        <f t="shared" si="35"/>
        <v>-1955.086102694915</v>
      </c>
      <c r="H75" s="123">
        <f t="shared" si="35"/>
        <v>2460.9437278135592</v>
      </c>
      <c r="I75" s="123">
        <f t="shared" si="35"/>
        <v>6838.894100694915</v>
      </c>
      <c r="J75" s="123">
        <f t="shared" si="35"/>
        <v>11219.565015949152</v>
      </c>
      <c r="K75" s="123">
        <f t="shared" si="35"/>
        <v>15602.95647357627</v>
      </c>
      <c r="L75" s="123">
        <f t="shared" si="35"/>
        <v>19989.06847357627</v>
      </c>
    </row>
    <row r="76" spans="1:12" ht="12.75">
      <c r="A76" s="32" t="s">
        <v>18</v>
      </c>
      <c r="B76" s="31">
        <v>0.12</v>
      </c>
      <c r="C76" s="125" t="s">
        <v>0</v>
      </c>
      <c r="D76" s="131" t="s">
        <v>0</v>
      </c>
      <c r="E76" s="125" t="s">
        <v>0</v>
      </c>
      <c r="F76" s="172" t="s">
        <v>0</v>
      </c>
      <c r="G76" s="127" t="s">
        <v>0</v>
      </c>
      <c r="H76" s="127" t="s">
        <v>0</v>
      </c>
      <c r="I76" s="127" t="s">
        <v>0</v>
      </c>
      <c r="J76" s="127" t="s">
        <v>0</v>
      </c>
      <c r="K76" s="127" t="s">
        <v>0</v>
      </c>
      <c r="L76" s="127" t="s">
        <v>0</v>
      </c>
    </row>
    <row r="77" spans="1:12" ht="12.75">
      <c r="A77" s="40" t="s">
        <v>17</v>
      </c>
      <c r="B77" s="35"/>
      <c r="C77" s="136">
        <f>1/(1+$B$76/2)^(1-1)</f>
        <v>1</v>
      </c>
      <c r="D77" s="136">
        <f>1/(1+$B$76/2)^(2-1)</f>
        <v>0.9433962264150942</v>
      </c>
      <c r="E77" s="136">
        <f>1/(1+$B$76/2)^(3-1)</f>
        <v>0.8899964400142398</v>
      </c>
      <c r="F77" s="136">
        <f>1/(1+$B$76/2)^(4-1)</f>
        <v>0.8396192830323016</v>
      </c>
      <c r="G77" s="136">
        <f>1/(1+$B$76/2)^(5-1)</f>
        <v>0.7920936632380204</v>
      </c>
      <c r="H77" s="136">
        <f>1/(1+$B$76/2)^(6-1)</f>
        <v>0.7472581728660569</v>
      </c>
      <c r="I77" s="136">
        <f>1/(1+$B$76/2)^(7-1)</f>
        <v>0.7049605404396763</v>
      </c>
      <c r="J77" s="136">
        <f>1/(1+$B$76/2)^(8-1)</f>
        <v>0.665057113622336</v>
      </c>
      <c r="K77" s="136">
        <f>1/(1+$B$76/2)^(9-1)</f>
        <v>0.6274123713418265</v>
      </c>
      <c r="L77" s="136">
        <f>1/(1+$B$76/2)^(10-1)</f>
        <v>0.591898463530025</v>
      </c>
    </row>
    <row r="78" spans="1:12" ht="12.75">
      <c r="A78" s="26" t="s">
        <v>12</v>
      </c>
      <c r="B78" s="24"/>
      <c r="C78" s="125">
        <f aca="true" t="shared" si="36" ref="C78:L78">C74*C77</f>
        <v>-20000</v>
      </c>
      <c r="D78" s="131">
        <f t="shared" si="36"/>
        <v>4309.761944355612</v>
      </c>
      <c r="E78" s="125">
        <f t="shared" si="36"/>
        <v>4031.9225733266558</v>
      </c>
      <c r="F78" s="131">
        <f t="shared" si="36"/>
        <v>3771.7282939630622</v>
      </c>
      <c r="G78" s="125">
        <f t="shared" si="36"/>
        <v>3528.071742501814</v>
      </c>
      <c r="H78" s="125">
        <f t="shared" si="36"/>
        <v>3299.9143824677653</v>
      </c>
      <c r="I78" s="125">
        <f t="shared" si="36"/>
        <v>3086.282260884523</v>
      </c>
      <c r="J78" s="125">
        <f t="shared" si="36"/>
        <v>2913.3963546283</v>
      </c>
      <c r="K78" s="125">
        <f t="shared" si="36"/>
        <v>2750.1940289493355</v>
      </c>
      <c r="L78" s="125">
        <f t="shared" si="36"/>
        <v>2596.132953670605</v>
      </c>
    </row>
    <row r="79" spans="1:12" ht="12.75">
      <c r="A79" s="33" t="s">
        <v>11</v>
      </c>
      <c r="B79" s="25"/>
      <c r="C79" s="128">
        <f>C78</f>
        <v>-20000</v>
      </c>
      <c r="D79" s="130">
        <f aca="true" t="shared" si="37" ref="D79:L79">C79+D78</f>
        <v>-15690.238055644388</v>
      </c>
      <c r="E79" s="130">
        <f t="shared" si="37"/>
        <v>-11658.315482317732</v>
      </c>
      <c r="F79" s="130">
        <f t="shared" si="37"/>
        <v>-7886.58718835467</v>
      </c>
      <c r="G79" s="130">
        <f t="shared" si="37"/>
        <v>-4358.515445852856</v>
      </c>
      <c r="H79" s="130">
        <f t="shared" si="37"/>
        <v>-1058.6010633850906</v>
      </c>
      <c r="I79" s="130">
        <f t="shared" si="37"/>
        <v>2027.6811974994325</v>
      </c>
      <c r="J79" s="130">
        <f t="shared" si="37"/>
        <v>4941.077552127732</v>
      </c>
      <c r="K79" s="130">
        <f t="shared" si="37"/>
        <v>7691.271581077068</v>
      </c>
      <c r="L79" s="130">
        <f t="shared" si="37"/>
        <v>10287.404534747673</v>
      </c>
    </row>
    <row r="80" spans="1:12" ht="12.75">
      <c r="A80" s="32"/>
      <c r="B80" s="34"/>
      <c r="C80" s="131"/>
      <c r="D80" s="131"/>
      <c r="E80" s="131"/>
      <c r="F80" s="172"/>
      <c r="G80" s="127"/>
      <c r="H80" s="127"/>
      <c r="I80" s="127"/>
      <c r="J80" s="127"/>
      <c r="K80" s="127"/>
      <c r="L80" s="127"/>
    </row>
    <row r="81" spans="1:12" ht="12.75">
      <c r="A81" s="26" t="s">
        <v>13</v>
      </c>
      <c r="B81" s="36">
        <f>IF(SUM(C74:L74)&lt;0,"нет",MATCH(1,C75:L75,1)/2)</f>
        <v>2.5</v>
      </c>
      <c r="C81" s="180"/>
      <c r="D81" s="156"/>
      <c r="E81" s="133"/>
      <c r="F81" s="150"/>
      <c r="G81" s="133"/>
      <c r="H81" s="133"/>
      <c r="I81" s="133"/>
      <c r="J81" s="133"/>
      <c r="K81" s="133"/>
      <c r="L81" s="133"/>
    </row>
    <row r="82" spans="1:12" ht="12.75">
      <c r="A82" s="26" t="s">
        <v>104</v>
      </c>
      <c r="B82" s="37">
        <f>L79</f>
        <v>10287.404534747673</v>
      </c>
      <c r="C82" s="123">
        <f aca="true" t="shared" si="38" ref="C82:L82">C79</f>
        <v>-20000</v>
      </c>
      <c r="D82" s="149">
        <f t="shared" si="38"/>
        <v>-15690.238055644388</v>
      </c>
      <c r="E82" s="123">
        <f t="shared" si="38"/>
        <v>-11658.315482317732</v>
      </c>
      <c r="F82" s="149">
        <f t="shared" si="38"/>
        <v>-7886.58718835467</v>
      </c>
      <c r="G82" s="123">
        <f t="shared" si="38"/>
        <v>-4358.515445852856</v>
      </c>
      <c r="H82" s="123">
        <f t="shared" si="38"/>
        <v>-1058.6010633850906</v>
      </c>
      <c r="I82" s="123">
        <f t="shared" si="38"/>
        <v>2027.6811974994325</v>
      </c>
      <c r="J82" s="123">
        <f t="shared" si="38"/>
        <v>4941.077552127732</v>
      </c>
      <c r="K82" s="123">
        <f t="shared" si="38"/>
        <v>7691.271581077068</v>
      </c>
      <c r="L82" s="123">
        <f t="shared" si="38"/>
        <v>10287.404534747673</v>
      </c>
    </row>
    <row r="83" spans="1:12" ht="12.75">
      <c r="A83" s="9" t="s">
        <v>111</v>
      </c>
      <c r="B83" s="183">
        <f>L55/(-L64)</f>
        <v>3.8493981549667278</v>
      </c>
      <c r="C83" s="123"/>
      <c r="D83" s="149"/>
      <c r="E83" s="123"/>
      <c r="F83" s="149"/>
      <c r="G83" s="123"/>
      <c r="H83" s="123"/>
      <c r="I83" s="123"/>
      <c r="J83" s="123"/>
      <c r="K83" s="123"/>
      <c r="L83" s="123"/>
    </row>
    <row r="84" spans="1:12" ht="25.5">
      <c r="A84" s="9" t="s">
        <v>112</v>
      </c>
      <c r="B84" s="183">
        <f>SUMPRODUCT(C55:L55,C77:L77)/-SUMPRODUCT(C64:L64,C77:L77)</f>
        <v>1.4826687854736487</v>
      </c>
      <c r="C84" s="123"/>
      <c r="D84" s="149"/>
      <c r="E84" s="123"/>
      <c r="F84" s="149"/>
      <c r="G84" s="123"/>
      <c r="H84" s="123"/>
      <c r="I84" s="123"/>
      <c r="J84" s="123"/>
      <c r="K84" s="123"/>
      <c r="L84" s="123"/>
    </row>
    <row r="85" spans="1:12" ht="12.75">
      <c r="A85" s="9" t="s">
        <v>15</v>
      </c>
      <c r="B85" s="38">
        <f>-B82/(C56*C77+D56*D77)</f>
        <v>0.5143702267373836</v>
      </c>
      <c r="C85" s="27"/>
      <c r="D85" s="151"/>
      <c r="E85" s="28"/>
      <c r="F85" s="151"/>
      <c r="G85" s="28"/>
      <c r="H85" s="28"/>
      <c r="I85" s="28"/>
      <c r="J85" s="28"/>
      <c r="K85" s="28"/>
      <c r="L85" s="28"/>
    </row>
    <row r="86" spans="1:12" ht="13.5" thickBot="1">
      <c r="A86" s="29" t="s">
        <v>82</v>
      </c>
      <c r="B86" s="39">
        <f>IRR(C74:L74)*360/180</f>
        <v>0.33680187530176753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ht="13.5" thickTop="1">
      <c r="D87" s="102"/>
    </row>
    <row r="88" ht="12.75">
      <c r="D88" s="102"/>
    </row>
    <row r="89" ht="12.75">
      <c r="D89" s="102"/>
    </row>
    <row r="90" ht="12.75">
      <c r="D90" s="102"/>
    </row>
    <row r="91" ht="12.75">
      <c r="D91" s="102"/>
    </row>
    <row r="92" ht="12.75">
      <c r="D92" s="102"/>
    </row>
    <row r="93" ht="12.75">
      <c r="D93" s="102"/>
    </row>
    <row r="94" ht="12.75">
      <c r="D94" s="102"/>
    </row>
    <row r="95" ht="12.75">
      <c r="D95" s="102"/>
    </row>
    <row r="96" ht="12.75">
      <c r="D96" s="102"/>
    </row>
    <row r="97" ht="12.75">
      <c r="D97" s="102"/>
    </row>
    <row r="98" ht="12.75">
      <c r="D98" s="102"/>
    </row>
    <row r="99" ht="12.75">
      <c r="D99" s="102"/>
    </row>
    <row r="100" ht="12.75">
      <c r="D100" s="102"/>
    </row>
    <row r="101" ht="12.75">
      <c r="D101" s="102"/>
    </row>
    <row r="102" ht="12.75">
      <c r="D102" s="102"/>
    </row>
    <row r="103" ht="12.75">
      <c r="D103" s="102"/>
    </row>
    <row r="104" ht="12.75">
      <c r="D104" s="102"/>
    </row>
    <row r="105" ht="12.75">
      <c r="D105" s="102"/>
    </row>
    <row r="106" ht="12.75">
      <c r="D106" s="102"/>
    </row>
    <row r="107" ht="12.75">
      <c r="D107" s="102"/>
    </row>
    <row r="108" ht="12.75">
      <c r="D108" s="102"/>
    </row>
    <row r="109" ht="12.75">
      <c r="D109" s="102"/>
    </row>
    <row r="110" ht="12.75">
      <c r="D110" s="102"/>
    </row>
    <row r="111" ht="12.75">
      <c r="D111" s="102"/>
    </row>
    <row r="112" ht="12.75">
      <c r="D112" s="102"/>
    </row>
    <row r="113" ht="12.75">
      <c r="D113" s="102"/>
    </row>
    <row r="114" ht="12.75">
      <c r="D114" s="102"/>
    </row>
    <row r="115" ht="12.75">
      <c r="D115" s="102"/>
    </row>
    <row r="116" ht="12.75">
      <c r="D116" s="102"/>
    </row>
    <row r="117" ht="12.75">
      <c r="D117" s="102"/>
    </row>
    <row r="118" ht="12.75">
      <c r="D118" s="102"/>
    </row>
    <row r="119" ht="12.75">
      <c r="D119" s="102"/>
    </row>
    <row r="120" ht="12.75">
      <c r="D120" s="102"/>
    </row>
    <row r="121" ht="12.75">
      <c r="D121" s="102"/>
    </row>
    <row r="122" ht="12.75">
      <c r="D122" s="102"/>
    </row>
    <row r="123" ht="12.75">
      <c r="D123" s="102"/>
    </row>
    <row r="124" ht="12.75">
      <c r="D124" s="102"/>
    </row>
    <row r="125" ht="12.75">
      <c r="D125" s="102"/>
    </row>
    <row r="126" ht="12.75">
      <c r="D126" s="102"/>
    </row>
    <row r="127" ht="12.75">
      <c r="D127" s="102"/>
    </row>
    <row r="128" ht="12.75">
      <c r="D128" s="102"/>
    </row>
    <row r="129" ht="12.75">
      <c r="D129" s="102"/>
    </row>
    <row r="130" ht="12.75">
      <c r="D130" s="102"/>
    </row>
    <row r="131" ht="12.75">
      <c r="D131" s="102"/>
    </row>
    <row r="132" ht="12.75">
      <c r="D132" s="102"/>
    </row>
    <row r="133" ht="12.75">
      <c r="D133" s="102"/>
    </row>
    <row r="134" ht="12.75">
      <c r="D134" s="102"/>
    </row>
    <row r="135" ht="12.75">
      <c r="D135" s="102"/>
    </row>
    <row r="136" ht="12.75">
      <c r="D136" s="102"/>
    </row>
    <row r="137" ht="12.75">
      <c r="D137" s="102"/>
    </row>
    <row r="138" ht="12.75">
      <c r="D138" s="102"/>
    </row>
    <row r="139" ht="12.75">
      <c r="D139" s="102"/>
    </row>
    <row r="140" ht="12.75">
      <c r="D140" s="102"/>
    </row>
    <row r="141" ht="12.75">
      <c r="D141" s="102"/>
    </row>
    <row r="142" ht="12.75">
      <c r="D142" s="102"/>
    </row>
    <row r="143" ht="12.75">
      <c r="D143" s="102"/>
    </row>
    <row r="144" ht="12.75">
      <c r="D144" s="102"/>
    </row>
    <row r="145" ht="12.75">
      <c r="D145" s="102"/>
    </row>
    <row r="146" ht="12.75">
      <c r="D146" s="102"/>
    </row>
    <row r="147" ht="12.75">
      <c r="D147" s="102"/>
    </row>
    <row r="148" ht="12.75">
      <c r="D148" s="102"/>
    </row>
    <row r="149" ht="12.75">
      <c r="D149" s="102"/>
    </row>
    <row r="150" ht="12.75">
      <c r="D150" s="102"/>
    </row>
    <row r="151" ht="12.75">
      <c r="D151" s="102"/>
    </row>
    <row r="152" ht="12.75">
      <c r="D152" s="102"/>
    </row>
    <row r="153" ht="12.75">
      <c r="D153" s="102"/>
    </row>
    <row r="154" ht="12.75">
      <c r="D154" s="102"/>
    </row>
    <row r="155" ht="12.75">
      <c r="D155" s="102"/>
    </row>
    <row r="156" ht="12.75">
      <c r="D156" s="102"/>
    </row>
    <row r="157" ht="12.75">
      <c r="D157" s="102"/>
    </row>
    <row r="158" ht="12.75">
      <c r="D158" s="102"/>
    </row>
    <row r="159" ht="12.75">
      <c r="D159" s="102"/>
    </row>
    <row r="160" ht="12.75">
      <c r="D160" s="102"/>
    </row>
    <row r="161" ht="12.75">
      <c r="D161" s="102"/>
    </row>
    <row r="162" ht="12.75">
      <c r="D162" s="102"/>
    </row>
    <row r="163" ht="12.75">
      <c r="D163" s="102"/>
    </row>
    <row r="164" ht="12.75">
      <c r="D164" s="102"/>
    </row>
    <row r="165" ht="12.75">
      <c r="D165" s="102"/>
    </row>
    <row r="166" ht="12.75">
      <c r="D166" s="102"/>
    </row>
    <row r="167" ht="12.75">
      <c r="D167" s="102"/>
    </row>
    <row r="168" ht="12.75">
      <c r="D168" s="102"/>
    </row>
    <row r="169" ht="12.75">
      <c r="D169" s="102"/>
    </row>
    <row r="170" ht="12.75">
      <c r="D170" s="102"/>
    </row>
    <row r="171" ht="12.75">
      <c r="D171" s="102"/>
    </row>
    <row r="172" ht="12.75">
      <c r="D172" s="102"/>
    </row>
    <row r="173" ht="12.75">
      <c r="D173" s="102"/>
    </row>
    <row r="174" ht="12.75">
      <c r="D174" s="102"/>
    </row>
    <row r="175" ht="12.75">
      <c r="D175" s="102"/>
    </row>
    <row r="176" ht="12.75">
      <c r="D176" s="102"/>
    </row>
    <row r="177" ht="12.75">
      <c r="D177" s="102"/>
    </row>
    <row r="178" ht="12.75">
      <c r="D178" s="102"/>
    </row>
    <row r="179" ht="12.75">
      <c r="D179" s="102"/>
    </row>
    <row r="180" ht="12.75">
      <c r="D180" s="102"/>
    </row>
    <row r="181" ht="12.75">
      <c r="D181" s="102"/>
    </row>
    <row r="182" ht="12.75">
      <c r="D182" s="102"/>
    </row>
    <row r="183" ht="12.75">
      <c r="D183" s="102"/>
    </row>
    <row r="184" ht="12.75">
      <c r="D184" s="102"/>
    </row>
    <row r="185" ht="12.75">
      <c r="D185" s="102"/>
    </row>
    <row r="186" ht="12.75">
      <c r="D186" s="102"/>
    </row>
    <row r="187" ht="12.75">
      <c r="D187" s="102"/>
    </row>
    <row r="188" ht="12.75">
      <c r="D188" s="102"/>
    </row>
    <row r="189" ht="12.75">
      <c r="D189" s="102"/>
    </row>
    <row r="190" ht="12.75">
      <c r="D190" s="102"/>
    </row>
    <row r="191" ht="12.75">
      <c r="D191" s="102"/>
    </row>
    <row r="192" ht="12.75">
      <c r="D192" s="102"/>
    </row>
    <row r="193" ht="12.75">
      <c r="D193" s="102"/>
    </row>
    <row r="194" ht="12.75">
      <c r="D194" s="102"/>
    </row>
    <row r="195" ht="12.75">
      <c r="D195" s="102"/>
    </row>
    <row r="196" ht="12.75">
      <c r="D196" s="102"/>
    </row>
    <row r="197" ht="12.75">
      <c r="D197" s="102"/>
    </row>
    <row r="198" ht="12.75">
      <c r="D198" s="102"/>
    </row>
    <row r="199" ht="12.75">
      <c r="D199" s="102"/>
    </row>
    <row r="200" ht="12.75">
      <c r="D200" s="102"/>
    </row>
    <row r="201" ht="12.75">
      <c r="D201" s="102"/>
    </row>
    <row r="202" ht="12.75">
      <c r="D202" s="102"/>
    </row>
    <row r="203" ht="12.75">
      <c r="D203" s="102"/>
    </row>
    <row r="204" ht="12.75">
      <c r="D204" s="102"/>
    </row>
    <row r="205" ht="12.75">
      <c r="D205" s="102"/>
    </row>
    <row r="206" ht="12.75">
      <c r="D206" s="102"/>
    </row>
    <row r="207" ht="12.75">
      <c r="D207" s="102"/>
    </row>
    <row r="208" ht="12.75">
      <c r="D208" s="102"/>
    </row>
    <row r="209" ht="12.75">
      <c r="D209" s="102"/>
    </row>
    <row r="210" ht="12.75">
      <c r="D210" s="102"/>
    </row>
    <row r="211" ht="12.75">
      <c r="D211" s="102"/>
    </row>
    <row r="212" ht="12.75">
      <c r="D212" s="102"/>
    </row>
    <row r="213" ht="12.75">
      <c r="D213" s="102"/>
    </row>
    <row r="214" ht="12.75">
      <c r="D214" s="102"/>
    </row>
    <row r="215" ht="12.75">
      <c r="D215" s="102"/>
    </row>
    <row r="216" ht="12.75">
      <c r="D216" s="102"/>
    </row>
    <row r="217" ht="12.75">
      <c r="D217" s="102"/>
    </row>
    <row r="218" ht="12.75">
      <c r="D218" s="102"/>
    </row>
    <row r="219" ht="12.75">
      <c r="D219" s="102"/>
    </row>
    <row r="220" ht="12.75">
      <c r="D220" s="102"/>
    </row>
    <row r="221" ht="12.75">
      <c r="D221" s="102"/>
    </row>
    <row r="222" ht="12.75">
      <c r="D222" s="102"/>
    </row>
    <row r="223" ht="12.75">
      <c r="D223" s="102"/>
    </row>
    <row r="224" ht="12.75">
      <c r="D224" s="102"/>
    </row>
    <row r="225" ht="12.75">
      <c r="D225" s="102"/>
    </row>
    <row r="226" ht="12.75">
      <c r="D226" s="102"/>
    </row>
    <row r="227" ht="12.75">
      <c r="D227" s="102"/>
    </row>
    <row r="228" ht="12.75">
      <c r="D228" s="102"/>
    </row>
    <row r="229" ht="12.75">
      <c r="D229" s="102"/>
    </row>
    <row r="230" ht="12.75">
      <c r="D230" s="102"/>
    </row>
    <row r="231" ht="12.75">
      <c r="D231" s="102"/>
    </row>
    <row r="232" ht="12.75">
      <c r="D232" s="102"/>
    </row>
    <row r="233" ht="12.75">
      <c r="D233" s="102"/>
    </row>
    <row r="234" ht="12.75">
      <c r="D234" s="102"/>
    </row>
    <row r="235" ht="12.75">
      <c r="D235" s="102"/>
    </row>
    <row r="236" ht="12.75">
      <c r="D236" s="102"/>
    </row>
    <row r="237" ht="12.75">
      <c r="D237" s="102"/>
    </row>
    <row r="238" ht="12.75">
      <c r="D238" s="102"/>
    </row>
    <row r="239" ht="12.75">
      <c r="D239" s="102"/>
    </row>
    <row r="240" ht="12.75">
      <c r="D240" s="102"/>
    </row>
    <row r="241" ht="12.75">
      <c r="D241" s="102"/>
    </row>
    <row r="242" ht="12.75">
      <c r="D242" s="102"/>
    </row>
    <row r="243" ht="12.75">
      <c r="D243" s="102"/>
    </row>
    <row r="244" ht="12.75">
      <c r="D244" s="102"/>
    </row>
    <row r="245" ht="12.75">
      <c r="D245" s="102"/>
    </row>
    <row r="246" ht="12.75">
      <c r="D246" s="102"/>
    </row>
    <row r="247" ht="12.75">
      <c r="D247" s="102"/>
    </row>
    <row r="248" ht="12.75">
      <c r="D248" s="102"/>
    </row>
    <row r="249" ht="12.75">
      <c r="D249" s="102"/>
    </row>
    <row r="250" ht="12.75">
      <c r="D250" s="102"/>
    </row>
    <row r="251" ht="12.75">
      <c r="D251" s="102"/>
    </row>
    <row r="252" ht="12.75">
      <c r="D252" s="102"/>
    </row>
    <row r="253" ht="12.75">
      <c r="D253" s="102"/>
    </row>
    <row r="254" ht="12.75">
      <c r="D254" s="102"/>
    </row>
    <row r="255" ht="12.75">
      <c r="D255" s="102"/>
    </row>
    <row r="256" ht="12.75">
      <c r="D256" s="102"/>
    </row>
    <row r="257" ht="12.75">
      <c r="D257" s="102"/>
    </row>
    <row r="258" ht="12.75">
      <c r="D258" s="102"/>
    </row>
    <row r="259" ht="12.75">
      <c r="D259" s="102"/>
    </row>
    <row r="260" ht="12.75">
      <c r="D260" s="102"/>
    </row>
    <row r="261" ht="12.75">
      <c r="D261" s="102"/>
    </row>
    <row r="262" ht="12.75">
      <c r="D262" s="102"/>
    </row>
    <row r="263" ht="12.75">
      <c r="D263" s="102"/>
    </row>
    <row r="264" ht="12.75">
      <c r="D264" s="102"/>
    </row>
    <row r="265" ht="12.75">
      <c r="D265" s="102"/>
    </row>
    <row r="266" ht="12.75">
      <c r="D266" s="102"/>
    </row>
    <row r="267" ht="12.75">
      <c r="D267" s="102"/>
    </row>
    <row r="268" ht="12.75">
      <c r="D268" s="102"/>
    </row>
    <row r="269" ht="12.75">
      <c r="D269" s="102"/>
    </row>
    <row r="270" ht="12.75">
      <c r="D270" s="102"/>
    </row>
    <row r="271" ht="12.75">
      <c r="D271" s="102"/>
    </row>
    <row r="272" ht="12.75">
      <c r="D272" s="102"/>
    </row>
    <row r="273" ht="12.75">
      <c r="D273" s="102"/>
    </row>
    <row r="274" ht="12.75">
      <c r="D274" s="102"/>
    </row>
    <row r="275" ht="12.75">
      <c r="D275" s="102"/>
    </row>
    <row r="276" ht="12.75">
      <c r="D276" s="102"/>
    </row>
    <row r="277" ht="12.75">
      <c r="D277" s="102"/>
    </row>
    <row r="278" ht="12.75">
      <c r="D278" s="102"/>
    </row>
    <row r="279" ht="12.75">
      <c r="D279" s="102"/>
    </row>
    <row r="280" ht="12.75">
      <c r="D280" s="102"/>
    </row>
    <row r="281" ht="12.75">
      <c r="D281" s="102"/>
    </row>
    <row r="282" ht="12.75">
      <c r="D282" s="102"/>
    </row>
    <row r="283" ht="12.75">
      <c r="D283" s="102"/>
    </row>
    <row r="284" ht="12.75">
      <c r="D284" s="102"/>
    </row>
    <row r="285" ht="12.75">
      <c r="D285" s="102"/>
    </row>
    <row r="286" ht="12.75">
      <c r="D286" s="102"/>
    </row>
    <row r="287" ht="12.75">
      <c r="D287" s="102"/>
    </row>
    <row r="288" ht="12.75">
      <c r="D288" s="102"/>
    </row>
    <row r="289" ht="12.75">
      <c r="D289" s="102"/>
    </row>
    <row r="290" ht="12.75">
      <c r="D290" s="102"/>
    </row>
    <row r="291" ht="12.75">
      <c r="D291" s="102"/>
    </row>
    <row r="292" ht="12.75">
      <c r="D292" s="102"/>
    </row>
    <row r="293" ht="12.75">
      <c r="D293" s="102"/>
    </row>
    <row r="294" ht="12.75">
      <c r="D294" s="102"/>
    </row>
    <row r="295" ht="12.75">
      <c r="D295" s="102"/>
    </row>
    <row r="296" ht="12.75">
      <c r="D296" s="102"/>
    </row>
    <row r="297" ht="12.75">
      <c r="D297" s="102"/>
    </row>
    <row r="298" ht="12.75">
      <c r="D298" s="102"/>
    </row>
    <row r="299" ht="12.75">
      <c r="D299" s="102"/>
    </row>
    <row r="300" ht="12.75">
      <c r="D300" s="102"/>
    </row>
    <row r="301" ht="12.75">
      <c r="D301" s="102"/>
    </row>
    <row r="302" ht="12.75">
      <c r="D302" s="102"/>
    </row>
    <row r="303" ht="12.75">
      <c r="D303" s="102"/>
    </row>
    <row r="304" ht="12.75">
      <c r="D304" s="102"/>
    </row>
    <row r="305" ht="12.75">
      <c r="D305" s="102"/>
    </row>
    <row r="306" ht="12.75">
      <c r="D306" s="102"/>
    </row>
    <row r="307" ht="12.75">
      <c r="D307" s="102"/>
    </row>
    <row r="308" ht="12.75">
      <c r="D308" s="102"/>
    </row>
    <row r="309" ht="12.75">
      <c r="D309" s="102"/>
    </row>
    <row r="310" ht="12.75">
      <c r="D310" s="102"/>
    </row>
    <row r="311" ht="12.75">
      <c r="D311" s="102"/>
    </row>
    <row r="312" ht="12.75">
      <c r="D312" s="102"/>
    </row>
    <row r="313" ht="12.75">
      <c r="D313" s="102"/>
    </row>
    <row r="314" ht="12.75">
      <c r="D314" s="102"/>
    </row>
    <row r="315" ht="12.75">
      <c r="D315" s="102"/>
    </row>
    <row r="316" ht="12.75">
      <c r="D316" s="102"/>
    </row>
    <row r="317" ht="12.75">
      <c r="D317" s="102"/>
    </row>
    <row r="318" ht="12.75">
      <c r="D318" s="102"/>
    </row>
    <row r="319" ht="12.75">
      <c r="D319" s="102"/>
    </row>
    <row r="320" ht="12.75">
      <c r="D320" s="102"/>
    </row>
    <row r="321" ht="12.75">
      <c r="D321" s="102"/>
    </row>
    <row r="322" ht="12.75">
      <c r="D322" s="102"/>
    </row>
    <row r="323" ht="12.75">
      <c r="D323" s="102"/>
    </row>
    <row r="324" ht="12.75">
      <c r="D324" s="102"/>
    </row>
    <row r="325" ht="12.75">
      <c r="D325" s="102"/>
    </row>
    <row r="326" ht="12.75">
      <c r="D326" s="102"/>
    </row>
    <row r="327" ht="12.75">
      <c r="D327" s="102"/>
    </row>
    <row r="328" ht="12.75">
      <c r="D328" s="102"/>
    </row>
    <row r="329" ht="12.75">
      <c r="D329" s="102"/>
    </row>
    <row r="330" ht="12.75">
      <c r="D330" s="102"/>
    </row>
    <row r="331" ht="12.75">
      <c r="D331" s="102"/>
    </row>
    <row r="332" ht="12.75">
      <c r="D332" s="102"/>
    </row>
  </sheetData>
  <mergeCells count="3">
    <mergeCell ref="A16:B16"/>
    <mergeCell ref="A17:B17"/>
    <mergeCell ref="A6:B6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E322"/>
  <sheetViews>
    <sheetView showZeros="0" zoomScale="90" zoomScaleNormal="90" workbookViewId="0" topLeftCell="A1">
      <pane xSplit="2" topLeftCell="C1" activePane="topRight" state="frozen"/>
      <selection pane="topLeft" activeCell="A6" sqref="A6"/>
      <selection pane="topRight" activeCell="C1" sqref="C1"/>
    </sheetView>
  </sheetViews>
  <sheetFormatPr defaultColWidth="9.00390625" defaultRowHeight="12.75"/>
  <cols>
    <col min="1" max="1" width="39.75390625" style="7" customWidth="1"/>
    <col min="2" max="2" width="11.00390625" style="1" customWidth="1"/>
    <col min="3" max="3" width="12.375" style="1" customWidth="1"/>
    <col min="4" max="4" width="11.00390625" style="1" customWidth="1"/>
    <col min="5" max="16384" width="9.00390625" style="1" customWidth="1"/>
  </cols>
  <sheetData>
    <row r="3" ht="15">
      <c r="E3" s="116" t="s">
        <v>69</v>
      </c>
    </row>
    <row r="5" spans="4:6" ht="13.5" thickBot="1">
      <c r="D5" s="102"/>
      <c r="F5" s="60"/>
    </row>
    <row r="6" spans="1:12" ht="13.5" thickBot="1">
      <c r="A6" s="43" t="s">
        <v>30</v>
      </c>
      <c r="B6" s="45"/>
      <c r="C6" s="44" t="s">
        <v>20</v>
      </c>
      <c r="D6" s="44" t="s">
        <v>21</v>
      </c>
      <c r="E6" s="44" t="s">
        <v>22</v>
      </c>
      <c r="F6" s="61" t="s">
        <v>23</v>
      </c>
      <c r="G6" s="44" t="s">
        <v>24</v>
      </c>
      <c r="H6" s="44" t="s">
        <v>25</v>
      </c>
      <c r="I6" s="44" t="s">
        <v>26</v>
      </c>
      <c r="J6" s="44" t="s">
        <v>27</v>
      </c>
      <c r="K6" s="44" t="s">
        <v>28</v>
      </c>
      <c r="L6" s="44" t="s">
        <v>29</v>
      </c>
    </row>
    <row r="7" spans="1:12" ht="12.75">
      <c r="A7" s="9" t="s">
        <v>31</v>
      </c>
      <c r="B7" s="53" t="s">
        <v>32</v>
      </c>
      <c r="C7" s="52">
        <v>20000</v>
      </c>
      <c r="D7" s="20">
        <f aca="true" t="shared" si="0" ref="D7:L7">C7</f>
        <v>20000</v>
      </c>
      <c r="E7" s="52">
        <f t="shared" si="0"/>
        <v>20000</v>
      </c>
      <c r="F7" s="62">
        <f t="shared" si="0"/>
        <v>20000</v>
      </c>
      <c r="G7" s="52">
        <f t="shared" si="0"/>
        <v>20000</v>
      </c>
      <c r="H7" s="52">
        <f t="shared" si="0"/>
        <v>20000</v>
      </c>
      <c r="I7" s="52">
        <f t="shared" si="0"/>
        <v>20000</v>
      </c>
      <c r="J7" s="52">
        <f t="shared" si="0"/>
        <v>20000</v>
      </c>
      <c r="K7" s="52">
        <f t="shared" si="0"/>
        <v>20000</v>
      </c>
      <c r="L7" s="52">
        <f t="shared" si="0"/>
        <v>20000</v>
      </c>
    </row>
    <row r="8" spans="1:12" ht="12.75">
      <c r="A8" s="50"/>
      <c r="B8" s="145"/>
      <c r="C8" s="143"/>
      <c r="D8" s="143"/>
      <c r="E8" s="143"/>
      <c r="F8" s="160"/>
      <c r="G8" s="146"/>
      <c r="H8" s="146"/>
      <c r="I8" s="146"/>
      <c r="J8" s="146"/>
      <c r="K8" s="146"/>
      <c r="L8" s="146"/>
    </row>
    <row r="9" spans="1:12" ht="13.5" thickBot="1">
      <c r="A9" s="117" t="s">
        <v>70</v>
      </c>
      <c r="B9" s="49"/>
      <c r="C9" s="49">
        <v>0</v>
      </c>
      <c r="D9" s="49">
        <v>0</v>
      </c>
      <c r="E9" s="49">
        <v>0</v>
      </c>
      <c r="F9" s="65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</row>
    <row r="10" spans="1:12" ht="13.5" thickTop="1">
      <c r="A10" s="7" t="s">
        <v>71</v>
      </c>
      <c r="B10" s="51">
        <v>0.2</v>
      </c>
      <c r="C10" s="1">
        <f aca="true" t="shared" si="1" ref="C10:L10">$B$10*C9</f>
        <v>0</v>
      </c>
      <c r="D10" s="102">
        <f t="shared" si="1"/>
        <v>0</v>
      </c>
      <c r="E10" s="1">
        <f t="shared" si="1"/>
        <v>0</v>
      </c>
      <c r="F10" s="60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</row>
    <row r="11" spans="2:6" ht="12.75">
      <c r="B11" s="51"/>
      <c r="D11" s="102"/>
      <c r="F11" s="60"/>
    </row>
    <row r="12" spans="2:6" ht="12.75">
      <c r="B12" s="51"/>
      <c r="D12" s="102"/>
      <c r="F12" s="60"/>
    </row>
    <row r="13" spans="4:6" ht="13.5" thickBot="1">
      <c r="D13" s="102"/>
      <c r="F13" s="60"/>
    </row>
    <row r="14" spans="1:12" ht="13.5" thickBot="1">
      <c r="A14" s="43" t="s">
        <v>36</v>
      </c>
      <c r="B14" s="44"/>
      <c r="C14" s="44" t="s">
        <v>20</v>
      </c>
      <c r="D14" s="44" t="s">
        <v>21</v>
      </c>
      <c r="E14" s="44" t="s">
        <v>22</v>
      </c>
      <c r="F14" s="61" t="s">
        <v>23</v>
      </c>
      <c r="G14" s="44" t="s">
        <v>24</v>
      </c>
      <c r="H14" s="44" t="s">
        <v>25</v>
      </c>
      <c r="I14" s="44" t="s">
        <v>26</v>
      </c>
      <c r="J14" s="44" t="s">
        <v>27</v>
      </c>
      <c r="K14" s="44" t="s">
        <v>28</v>
      </c>
      <c r="L14" s="44" t="s">
        <v>29</v>
      </c>
    </row>
    <row r="15" spans="1:12" s="59" customFormat="1" ht="12.75">
      <c r="A15" s="21" t="s">
        <v>0</v>
      </c>
      <c r="B15" s="41"/>
      <c r="C15" s="41"/>
      <c r="D15" s="41"/>
      <c r="E15" s="41"/>
      <c r="F15" s="66"/>
      <c r="G15" s="41"/>
      <c r="H15" s="41"/>
      <c r="I15" s="41"/>
      <c r="J15" s="41"/>
      <c r="K15" s="41"/>
      <c r="L15" s="41"/>
    </row>
    <row r="16" spans="1:12" ht="12.75">
      <c r="A16" s="9" t="s">
        <v>34</v>
      </c>
      <c r="B16" s="53" t="s">
        <v>35</v>
      </c>
      <c r="C16" s="52" t="e">
        <f>потоки!#REF!</f>
        <v>#REF!</v>
      </c>
      <c r="D16" s="52" t="e">
        <f>$C$16*D7/$C$7</f>
        <v>#REF!</v>
      </c>
      <c r="E16" s="52" t="e">
        <f aca="true" t="shared" si="2" ref="E16:L16">$C$16*E7/$C$7</f>
        <v>#REF!</v>
      </c>
      <c r="F16" s="52" t="e">
        <f t="shared" si="2"/>
        <v>#REF!</v>
      </c>
      <c r="G16" s="52" t="e">
        <f t="shared" si="2"/>
        <v>#REF!</v>
      </c>
      <c r="H16" s="52" t="e">
        <f t="shared" si="2"/>
        <v>#REF!</v>
      </c>
      <c r="I16" s="52" t="e">
        <f t="shared" si="2"/>
        <v>#REF!</v>
      </c>
      <c r="J16" s="52" t="e">
        <f t="shared" si="2"/>
        <v>#REF!</v>
      </c>
      <c r="K16" s="52" t="e">
        <f t="shared" si="2"/>
        <v>#REF!</v>
      </c>
      <c r="L16" s="52" t="e">
        <f t="shared" si="2"/>
        <v>#REF!</v>
      </c>
    </row>
    <row r="17" spans="1:12" ht="25.5">
      <c r="A17" s="47" t="s">
        <v>88</v>
      </c>
      <c r="B17" s="54" t="s">
        <v>85</v>
      </c>
      <c r="C17" s="48">
        <f>0</f>
        <v>0</v>
      </c>
      <c r="D17" s="48">
        <v>0</v>
      </c>
      <c r="E17" s="48">
        <v>0</v>
      </c>
      <c r="F17" s="48">
        <v>0</v>
      </c>
      <c r="G17" s="134">
        <f>102-500</f>
        <v>-398</v>
      </c>
      <c r="H17" s="134">
        <f>G17</f>
        <v>-398</v>
      </c>
      <c r="I17" s="134">
        <f>H17</f>
        <v>-398</v>
      </c>
      <c r="J17" s="134">
        <f>I17</f>
        <v>-398</v>
      </c>
      <c r="K17" s="134">
        <f>J17</f>
        <v>-398</v>
      </c>
      <c r="L17" s="134">
        <f>K17</f>
        <v>-398</v>
      </c>
    </row>
    <row r="18" spans="1:12" ht="18" customHeight="1" thickBot="1">
      <c r="A18" s="118" t="s">
        <v>72</v>
      </c>
      <c r="B18" s="161" t="s">
        <v>86</v>
      </c>
      <c r="C18" s="104" t="e">
        <f>C17*C16</f>
        <v>#REF!</v>
      </c>
      <c r="D18" s="104" t="e">
        <f>D17*D16</f>
        <v>#REF!</v>
      </c>
      <c r="E18" s="106" t="e">
        <f>E17*E16</f>
        <v>#REF!</v>
      </c>
      <c r="F18" s="107" t="e">
        <f>F17*F16</f>
        <v>#REF!</v>
      </c>
      <c r="G18" s="106" t="e">
        <f aca="true" t="shared" si="3" ref="G18:L18">G17*G16/1000</f>
        <v>#REF!</v>
      </c>
      <c r="H18" s="106" t="e">
        <f t="shared" si="3"/>
        <v>#REF!</v>
      </c>
      <c r="I18" s="106" t="e">
        <f t="shared" si="3"/>
        <v>#REF!</v>
      </c>
      <c r="J18" s="106" t="e">
        <f t="shared" si="3"/>
        <v>#REF!</v>
      </c>
      <c r="K18" s="106" t="e">
        <f t="shared" si="3"/>
        <v>#REF!</v>
      </c>
      <c r="L18" s="106" t="e">
        <f t="shared" si="3"/>
        <v>#REF!</v>
      </c>
    </row>
    <row r="19" spans="4:6" ht="13.5" thickTop="1">
      <c r="D19" s="102"/>
      <c r="F19" s="60"/>
    </row>
    <row r="20" spans="4:6" ht="13.5" thickBot="1">
      <c r="D20" s="102"/>
      <c r="F20" s="60"/>
    </row>
    <row r="21" spans="1:12" ht="13.5" thickBot="1">
      <c r="A21" s="43" t="s">
        <v>75</v>
      </c>
      <c r="B21" s="44"/>
      <c r="C21" s="44" t="s">
        <v>20</v>
      </c>
      <c r="D21" s="44" t="s">
        <v>21</v>
      </c>
      <c r="E21" s="44" t="s">
        <v>22</v>
      </c>
      <c r="F21" s="61" t="s">
        <v>23</v>
      </c>
      <c r="G21" s="44" t="s">
        <v>24</v>
      </c>
      <c r="H21" s="44" t="s">
        <v>25</v>
      </c>
      <c r="I21" s="44" t="s">
        <v>26</v>
      </c>
      <c r="J21" s="44" t="s">
        <v>27</v>
      </c>
      <c r="K21" s="44" t="s">
        <v>28</v>
      </c>
      <c r="L21" s="44" t="s">
        <v>29</v>
      </c>
    </row>
    <row r="22" spans="1:12" s="59" customFormat="1" ht="12.75">
      <c r="A22" s="21" t="s">
        <v>0</v>
      </c>
      <c r="B22" s="41"/>
      <c r="C22" s="41"/>
      <c r="D22" s="41"/>
      <c r="E22" s="41"/>
      <c r="F22" s="66"/>
      <c r="G22" s="41"/>
      <c r="H22" s="41"/>
      <c r="I22" s="41"/>
      <c r="J22" s="41"/>
      <c r="K22" s="41"/>
      <c r="L22" s="41"/>
    </row>
    <row r="23" spans="1:12" ht="12.75">
      <c r="A23" s="9" t="s">
        <v>76</v>
      </c>
      <c r="B23" s="53" t="s">
        <v>89</v>
      </c>
      <c r="C23" s="52">
        <v>30000</v>
      </c>
      <c r="D23" s="20">
        <f aca="true" t="shared" si="4" ref="D23:L23">C23</f>
        <v>30000</v>
      </c>
      <c r="E23" s="52">
        <f t="shared" si="4"/>
        <v>30000</v>
      </c>
      <c r="F23" s="62">
        <f t="shared" si="4"/>
        <v>30000</v>
      </c>
      <c r="G23" s="52">
        <f t="shared" si="4"/>
        <v>30000</v>
      </c>
      <c r="H23" s="52">
        <f t="shared" si="4"/>
        <v>30000</v>
      </c>
      <c r="I23" s="52">
        <f t="shared" si="4"/>
        <v>30000</v>
      </c>
      <c r="J23" s="52">
        <f t="shared" si="4"/>
        <v>30000</v>
      </c>
      <c r="K23" s="52">
        <f t="shared" si="4"/>
        <v>30000</v>
      </c>
      <c r="L23" s="52">
        <f t="shared" si="4"/>
        <v>30000</v>
      </c>
    </row>
    <row r="24" spans="1:12" ht="12.75">
      <c r="A24" s="47" t="s">
        <v>77</v>
      </c>
      <c r="B24" s="54" t="s">
        <v>90</v>
      </c>
      <c r="C24" s="48">
        <f>0</f>
        <v>0</v>
      </c>
      <c r="D24" s="48">
        <v>0</v>
      </c>
      <c r="E24" s="48">
        <v>0</v>
      </c>
      <c r="F24" s="119">
        <v>0</v>
      </c>
      <c r="G24" s="48">
        <f>0-160</f>
        <v>-160</v>
      </c>
      <c r="H24" s="48">
        <f>G24</f>
        <v>-160</v>
      </c>
      <c r="I24" s="48">
        <f>H24</f>
        <v>-160</v>
      </c>
      <c r="J24" s="48">
        <f>I24</f>
        <v>-160</v>
      </c>
      <c r="K24" s="48">
        <f>J24</f>
        <v>-160</v>
      </c>
      <c r="L24" s="48">
        <f>K24</f>
        <v>-160</v>
      </c>
    </row>
    <row r="25" spans="1:12" ht="18" customHeight="1" thickBot="1">
      <c r="A25" s="118" t="s">
        <v>78</v>
      </c>
      <c r="B25" s="161" t="str">
        <f>B18</f>
        <v>млн. руб.</v>
      </c>
      <c r="C25" s="104">
        <f>C24*C23</f>
        <v>0</v>
      </c>
      <c r="D25" s="104">
        <f>D24*D23</f>
        <v>0</v>
      </c>
      <c r="E25" s="104">
        <f>E24*E23</f>
        <v>0</v>
      </c>
      <c r="F25" s="120">
        <f>F24*F23</f>
        <v>0</v>
      </c>
      <c r="G25" s="104">
        <f aca="true" t="shared" si="5" ref="G25:L25">G24*G23/1000</f>
        <v>-4800</v>
      </c>
      <c r="H25" s="104">
        <f t="shared" si="5"/>
        <v>-4800</v>
      </c>
      <c r="I25" s="104">
        <f t="shared" si="5"/>
        <v>-4800</v>
      </c>
      <c r="J25" s="104">
        <f t="shared" si="5"/>
        <v>-4800</v>
      </c>
      <c r="K25" s="104">
        <f t="shared" si="5"/>
        <v>-4800</v>
      </c>
      <c r="L25" s="104">
        <f t="shared" si="5"/>
        <v>-4800</v>
      </c>
    </row>
    <row r="26" spans="1:12" ht="13.5" thickTop="1">
      <c r="A26" s="188" t="s">
        <v>79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</row>
    <row r="27" spans="1:12" ht="12.75">
      <c r="A27" s="135"/>
      <c r="B27" s="135"/>
      <c r="C27" s="135"/>
      <c r="D27" s="60"/>
      <c r="E27" s="135"/>
      <c r="F27" s="135"/>
      <c r="G27" s="135"/>
      <c r="H27" s="135"/>
      <c r="I27" s="135"/>
      <c r="J27" s="135"/>
      <c r="K27" s="135"/>
      <c r="L27" s="135"/>
    </row>
    <row r="28" ht="13.5" thickBot="1"/>
    <row r="29" spans="1:12" ht="13.5" thickBot="1">
      <c r="A29" s="43" t="s">
        <v>73</v>
      </c>
      <c r="B29" s="44"/>
      <c r="C29" s="44" t="s">
        <v>20</v>
      </c>
      <c r="D29" s="44" t="s">
        <v>21</v>
      </c>
      <c r="E29" s="44" t="s">
        <v>22</v>
      </c>
      <c r="F29" s="44" t="s">
        <v>23</v>
      </c>
      <c r="G29" s="44" t="s">
        <v>24</v>
      </c>
      <c r="H29" s="44" t="s">
        <v>25</v>
      </c>
      <c r="I29" s="44" t="s">
        <v>26</v>
      </c>
      <c r="J29" s="44" t="s">
        <v>27</v>
      </c>
      <c r="K29" s="44" t="s">
        <v>28</v>
      </c>
      <c r="L29" s="44" t="s">
        <v>29</v>
      </c>
    </row>
    <row r="30" spans="1:12" s="59" customFormat="1" ht="12.75">
      <c r="A30" s="69" t="s">
        <v>33</v>
      </c>
      <c r="B30" s="168"/>
      <c r="C30" s="41"/>
      <c r="D30" s="158"/>
      <c r="E30" s="41"/>
      <c r="F30" s="159"/>
      <c r="G30" s="41"/>
      <c r="H30" s="41"/>
      <c r="I30" s="41"/>
      <c r="J30" s="41"/>
      <c r="K30" s="41"/>
      <c r="L30" s="41"/>
    </row>
    <row r="31" spans="1:12" ht="12.75">
      <c r="A31" s="9" t="s">
        <v>37</v>
      </c>
      <c r="B31" s="169"/>
      <c r="C31" s="52" t="e">
        <f>C18</f>
        <v>#REF!</v>
      </c>
      <c r="D31" s="20" t="e">
        <f>D18</f>
        <v>#REF!</v>
      </c>
      <c r="E31" s="52" t="e">
        <f aca="true" t="shared" si="6" ref="E31:L31">E18+E25</f>
        <v>#REF!</v>
      </c>
      <c r="F31" s="62" t="e">
        <f t="shared" si="6"/>
        <v>#REF!</v>
      </c>
      <c r="G31" s="52" t="e">
        <f t="shared" si="6"/>
        <v>#REF!</v>
      </c>
      <c r="H31" s="52" t="e">
        <f t="shared" si="6"/>
        <v>#REF!</v>
      </c>
      <c r="I31" s="52" t="e">
        <f t="shared" si="6"/>
        <v>#REF!</v>
      </c>
      <c r="J31" s="52" t="e">
        <f t="shared" si="6"/>
        <v>#REF!</v>
      </c>
      <c r="K31" s="52" t="e">
        <f t="shared" si="6"/>
        <v>#REF!</v>
      </c>
      <c r="L31" s="52" t="e">
        <f t="shared" si="6"/>
        <v>#REF!</v>
      </c>
    </row>
    <row r="32" spans="1:12" ht="12.75">
      <c r="A32" s="50" t="s">
        <v>38</v>
      </c>
      <c r="B32" s="171"/>
      <c r="C32" s="58" t="s">
        <v>0</v>
      </c>
      <c r="D32" s="58" t="s">
        <v>0</v>
      </c>
      <c r="E32" s="58" t="s">
        <v>0</v>
      </c>
      <c r="F32" s="63" t="s">
        <v>0</v>
      </c>
      <c r="G32" s="58" t="s">
        <v>0</v>
      </c>
      <c r="H32" s="58" t="s">
        <v>0</v>
      </c>
      <c r="I32" s="58" t="s">
        <v>0</v>
      </c>
      <c r="J32" s="58" t="s">
        <v>0</v>
      </c>
      <c r="K32" s="58" t="s">
        <v>0</v>
      </c>
      <c r="L32" s="58" t="s">
        <v>0</v>
      </c>
    </row>
    <row r="33" spans="1:12" ht="12.75">
      <c r="A33" s="70" t="s">
        <v>39</v>
      </c>
      <c r="B33" s="170" t="s">
        <v>84</v>
      </c>
      <c r="C33" s="56"/>
      <c r="D33" s="56"/>
      <c r="E33" s="56"/>
      <c r="F33" s="152"/>
      <c r="G33" s="57"/>
      <c r="H33" s="57"/>
      <c r="I33" s="57"/>
      <c r="J33" s="57"/>
      <c r="K33" s="57"/>
      <c r="L33" s="57"/>
    </row>
    <row r="34" spans="1:12" ht="12.75">
      <c r="A34" s="185" t="s">
        <v>40</v>
      </c>
      <c r="B34" s="185"/>
      <c r="C34" s="52">
        <v>0</v>
      </c>
      <c r="D34" s="20">
        <v>0</v>
      </c>
      <c r="E34" s="52">
        <v>0</v>
      </c>
      <c r="F34" s="62">
        <v>0</v>
      </c>
      <c r="G34" s="52">
        <v>5000</v>
      </c>
      <c r="H34" s="52">
        <f>G34</f>
        <v>5000</v>
      </c>
      <c r="I34" s="52">
        <f>H34</f>
        <v>5000</v>
      </c>
      <c r="J34" s="52">
        <f>I34</f>
        <v>5000</v>
      </c>
      <c r="K34" s="52">
        <f>J34</f>
        <v>5000</v>
      </c>
      <c r="L34" s="52">
        <f>K34</f>
        <v>5000</v>
      </c>
    </row>
    <row r="35" spans="1:12" ht="12.75">
      <c r="A35" s="186" t="s">
        <v>80</v>
      </c>
      <c r="B35" s="186"/>
      <c r="C35" s="58">
        <v>0</v>
      </c>
      <c r="D35" s="58">
        <v>0</v>
      </c>
      <c r="E35" s="58">
        <f>E63</f>
        <v>0</v>
      </c>
      <c r="F35" s="63">
        <f aca="true" t="shared" si="7" ref="F35:L35">F63</f>
        <v>0</v>
      </c>
      <c r="G35" s="58">
        <f t="shared" si="7"/>
        <v>160.00000000000003</v>
      </c>
      <c r="H35" s="58">
        <f t="shared" si="7"/>
        <v>160.00000000000003</v>
      </c>
      <c r="I35" s="58">
        <f t="shared" si="7"/>
        <v>160.00000000000003</v>
      </c>
      <c r="J35" s="58">
        <f t="shared" si="7"/>
        <v>160.00000000000003</v>
      </c>
      <c r="K35" s="58">
        <f t="shared" si="7"/>
        <v>160.00000000000003</v>
      </c>
      <c r="L35" s="58">
        <f t="shared" si="7"/>
        <v>160.00000000000003</v>
      </c>
    </row>
    <row r="36" spans="1:12" ht="12.75">
      <c r="A36" s="71"/>
      <c r="B36" s="165"/>
      <c r="C36" s="52"/>
      <c r="D36" s="20"/>
      <c r="E36" s="20"/>
      <c r="F36" s="62"/>
      <c r="G36" s="20"/>
      <c r="H36" s="20"/>
      <c r="I36" s="20"/>
      <c r="J36" s="20"/>
      <c r="K36" s="20"/>
      <c r="L36" s="20"/>
    </row>
    <row r="37" spans="1:12" ht="26.25" thickBot="1">
      <c r="A37" s="117" t="s">
        <v>91</v>
      </c>
      <c r="B37" s="164" t="str">
        <f>B25</f>
        <v>млн. руб.</v>
      </c>
      <c r="C37" s="72" t="e">
        <f aca="true" t="shared" si="8" ref="C37:L37">C31+C34</f>
        <v>#REF!</v>
      </c>
      <c r="D37" s="72" t="e">
        <f t="shared" si="8"/>
        <v>#REF!</v>
      </c>
      <c r="E37" s="72" t="e">
        <f t="shared" si="8"/>
        <v>#REF!</v>
      </c>
      <c r="F37" s="89" t="e">
        <f t="shared" si="8"/>
        <v>#REF!</v>
      </c>
      <c r="G37" s="72" t="e">
        <f t="shared" si="8"/>
        <v>#REF!</v>
      </c>
      <c r="H37" s="72" t="e">
        <f t="shared" si="8"/>
        <v>#REF!</v>
      </c>
      <c r="I37" s="72" t="e">
        <f t="shared" si="8"/>
        <v>#REF!</v>
      </c>
      <c r="J37" s="72" t="e">
        <f t="shared" si="8"/>
        <v>#REF!</v>
      </c>
      <c r="K37" s="72" t="e">
        <f t="shared" si="8"/>
        <v>#REF!</v>
      </c>
      <c r="L37" s="72" t="e">
        <f t="shared" si="8"/>
        <v>#REF!</v>
      </c>
    </row>
    <row r="38" spans="1:12" ht="13.5" thickTop="1">
      <c r="A38" s="7" t="s">
        <v>74</v>
      </c>
      <c r="B38" s="51">
        <v>0.2</v>
      </c>
      <c r="C38" s="1" t="e">
        <f>$B$10*C37</f>
        <v>#REF!</v>
      </c>
      <c r="D38" s="102" t="e">
        <f>$B$10*D37</f>
        <v>#REF!</v>
      </c>
      <c r="E38" s="127" t="e">
        <f>$B$10*(E37-E35)</f>
        <v>#REF!</v>
      </c>
      <c r="F38" s="154" t="e">
        <f aca="true" t="shared" si="9" ref="F38:L38">$B$10*(F37-F35)</f>
        <v>#REF!</v>
      </c>
      <c r="G38" s="127" t="e">
        <f t="shared" si="9"/>
        <v>#REF!</v>
      </c>
      <c r="H38" s="127" t="e">
        <f t="shared" si="9"/>
        <v>#REF!</v>
      </c>
      <c r="I38" s="127" t="e">
        <f t="shared" si="9"/>
        <v>#REF!</v>
      </c>
      <c r="J38" s="127" t="e">
        <f t="shared" si="9"/>
        <v>#REF!</v>
      </c>
      <c r="K38" s="127" t="e">
        <f t="shared" si="9"/>
        <v>#REF!</v>
      </c>
      <c r="L38" s="127" t="e">
        <f t="shared" si="9"/>
        <v>#REF!</v>
      </c>
    </row>
    <row r="39" spans="2:6" ht="12.75">
      <c r="B39" s="51"/>
      <c r="D39" s="102"/>
      <c r="F39" s="60"/>
    </row>
    <row r="40" spans="2:6" ht="12.75">
      <c r="B40" s="51"/>
      <c r="D40" s="102"/>
      <c r="F40" s="60"/>
    </row>
    <row r="41" spans="4:6" ht="13.5" thickBot="1">
      <c r="D41" s="102"/>
      <c r="F41" s="60"/>
    </row>
    <row r="42" spans="1:12" ht="26.25" thickBot="1">
      <c r="A42" s="84" t="s">
        <v>42</v>
      </c>
      <c r="B42" s="85" t="s">
        <v>52</v>
      </c>
      <c r="C42" s="73" t="str">
        <f aca="true" t="shared" si="10" ref="C42:L42">C68</f>
        <v>1 кв</v>
      </c>
      <c r="D42" s="73" t="str">
        <f t="shared" si="10"/>
        <v>2 кв</v>
      </c>
      <c r="E42" s="73" t="str">
        <f t="shared" si="10"/>
        <v>3 кв </v>
      </c>
      <c r="F42" s="90" t="str">
        <f t="shared" si="10"/>
        <v>4 кв</v>
      </c>
      <c r="G42" s="73" t="str">
        <f t="shared" si="10"/>
        <v>5 кв</v>
      </c>
      <c r="H42" s="73" t="str">
        <f t="shared" si="10"/>
        <v>6 кв</v>
      </c>
      <c r="I42" s="73" t="str">
        <f t="shared" si="10"/>
        <v>7 кв</v>
      </c>
      <c r="J42" s="73" t="str">
        <f t="shared" si="10"/>
        <v>8 кв</v>
      </c>
      <c r="K42" s="73" t="str">
        <f t="shared" si="10"/>
        <v>9 кв</v>
      </c>
      <c r="L42" s="73" t="str">
        <f t="shared" si="10"/>
        <v>10 кв</v>
      </c>
    </row>
    <row r="43" spans="1:12" s="59" customFormat="1" ht="25.5">
      <c r="A43" s="86" t="s">
        <v>53</v>
      </c>
      <c r="B43" s="87">
        <v>0.2</v>
      </c>
      <c r="C43" s="88"/>
      <c r="D43" s="88"/>
      <c r="E43" s="88"/>
      <c r="F43" s="91"/>
      <c r="G43" s="88"/>
      <c r="H43" s="88"/>
      <c r="I43" s="88"/>
      <c r="J43" s="88"/>
      <c r="K43" s="88"/>
      <c r="L43" s="88"/>
    </row>
    <row r="44" spans="1:12" s="59" customFormat="1" ht="25.5">
      <c r="A44" s="86" t="s">
        <v>54</v>
      </c>
      <c r="B44" s="87">
        <v>0.5</v>
      </c>
      <c r="C44" s="88"/>
      <c r="D44" s="88"/>
      <c r="E44" s="88"/>
      <c r="F44" s="91"/>
      <c r="G44" s="88"/>
      <c r="H44" s="88"/>
      <c r="I44" s="88"/>
      <c r="J44" s="88"/>
      <c r="K44" s="88"/>
      <c r="L44" s="88"/>
    </row>
    <row r="45" spans="1:12" ht="12.75">
      <c r="A45" s="26" t="s">
        <v>43</v>
      </c>
      <c r="B45" s="74">
        <v>0</v>
      </c>
      <c r="C45" s="52" t="e">
        <f aca="true" t="shared" si="11" ref="C45:L45">C31/90*$B$45/2</f>
        <v>#REF!</v>
      </c>
      <c r="D45" s="20" t="e">
        <f t="shared" si="11"/>
        <v>#REF!</v>
      </c>
      <c r="E45" s="52" t="e">
        <f t="shared" si="11"/>
        <v>#REF!</v>
      </c>
      <c r="F45" s="62" t="e">
        <f t="shared" si="11"/>
        <v>#REF!</v>
      </c>
      <c r="G45" s="52" t="e">
        <f t="shared" si="11"/>
        <v>#REF!</v>
      </c>
      <c r="H45" s="52" t="e">
        <f t="shared" si="11"/>
        <v>#REF!</v>
      </c>
      <c r="I45" s="52" t="e">
        <f t="shared" si="11"/>
        <v>#REF!</v>
      </c>
      <c r="J45" s="52" t="e">
        <f t="shared" si="11"/>
        <v>#REF!</v>
      </c>
      <c r="K45" s="52" t="e">
        <f t="shared" si="11"/>
        <v>#REF!</v>
      </c>
      <c r="L45" s="52" t="e">
        <f t="shared" si="11"/>
        <v>#REF!</v>
      </c>
    </row>
    <row r="46" spans="1:12" ht="12.75">
      <c r="A46" s="26" t="s">
        <v>44</v>
      </c>
      <c r="B46" s="74">
        <v>0</v>
      </c>
      <c r="C46" s="52" t="e">
        <f aca="true" t="shared" si="12" ref="C46:L46">C37/90*$B$46</f>
        <v>#REF!</v>
      </c>
      <c r="D46" s="20" t="e">
        <f t="shared" si="12"/>
        <v>#REF!</v>
      </c>
      <c r="E46" s="52" t="e">
        <f t="shared" si="12"/>
        <v>#REF!</v>
      </c>
      <c r="F46" s="62" t="e">
        <f t="shared" si="12"/>
        <v>#REF!</v>
      </c>
      <c r="G46" s="52" t="e">
        <f t="shared" si="12"/>
        <v>#REF!</v>
      </c>
      <c r="H46" s="52" t="e">
        <f t="shared" si="12"/>
        <v>#REF!</v>
      </c>
      <c r="I46" s="52" t="e">
        <f t="shared" si="12"/>
        <v>#REF!</v>
      </c>
      <c r="J46" s="52" t="e">
        <f t="shared" si="12"/>
        <v>#REF!</v>
      </c>
      <c r="K46" s="52" t="e">
        <f t="shared" si="12"/>
        <v>#REF!</v>
      </c>
      <c r="L46" s="52" t="e">
        <f t="shared" si="12"/>
        <v>#REF!</v>
      </c>
    </row>
    <row r="47" spans="1:12" ht="12.75">
      <c r="A47" s="26" t="s">
        <v>45</v>
      </c>
      <c r="B47" s="74">
        <v>0</v>
      </c>
      <c r="C47" s="52" t="e">
        <f aca="true" t="shared" si="13" ref="C47:L47">C37/90*$B$47</f>
        <v>#REF!</v>
      </c>
      <c r="D47" s="20" t="e">
        <f t="shared" si="13"/>
        <v>#REF!</v>
      </c>
      <c r="E47" s="52" t="e">
        <f t="shared" si="13"/>
        <v>#REF!</v>
      </c>
      <c r="F47" s="62" t="e">
        <f t="shared" si="13"/>
        <v>#REF!</v>
      </c>
      <c r="G47" s="52" t="e">
        <f t="shared" si="13"/>
        <v>#REF!</v>
      </c>
      <c r="H47" s="52" t="e">
        <f t="shared" si="13"/>
        <v>#REF!</v>
      </c>
      <c r="I47" s="52" t="e">
        <f t="shared" si="13"/>
        <v>#REF!</v>
      </c>
      <c r="J47" s="52" t="e">
        <f t="shared" si="13"/>
        <v>#REF!</v>
      </c>
      <c r="K47" s="52" t="e">
        <f t="shared" si="13"/>
        <v>#REF!</v>
      </c>
      <c r="L47" s="52" t="e">
        <f t="shared" si="13"/>
        <v>#REF!</v>
      </c>
    </row>
    <row r="48" spans="1:12" ht="12.75">
      <c r="A48" s="26" t="s">
        <v>46</v>
      </c>
      <c r="B48" s="74">
        <v>45</v>
      </c>
      <c r="C48" s="52">
        <f aca="true" t="shared" si="14" ref="C48:L48">C9/90*$B$48*(1-$B$43)</f>
        <v>0</v>
      </c>
      <c r="D48" s="20">
        <f t="shared" si="14"/>
        <v>0</v>
      </c>
      <c r="E48" s="52">
        <f t="shared" si="14"/>
        <v>0</v>
      </c>
      <c r="F48" s="62">
        <f t="shared" si="14"/>
        <v>0</v>
      </c>
      <c r="G48" s="52">
        <f t="shared" si="14"/>
        <v>0</v>
      </c>
      <c r="H48" s="52">
        <f t="shared" si="14"/>
        <v>0</v>
      </c>
      <c r="I48" s="52">
        <f t="shared" si="14"/>
        <v>0</v>
      </c>
      <c r="J48" s="52">
        <f t="shared" si="14"/>
        <v>0</v>
      </c>
      <c r="K48" s="52">
        <f t="shared" si="14"/>
        <v>0</v>
      </c>
      <c r="L48" s="52">
        <f t="shared" si="14"/>
        <v>0</v>
      </c>
    </row>
    <row r="49" spans="1:12" ht="12.75">
      <c r="A49" s="26" t="s">
        <v>47</v>
      </c>
      <c r="B49" s="74">
        <v>10</v>
      </c>
      <c r="C49" s="75" t="e">
        <f aca="true" t="shared" si="15" ref="C49:K49">D37/90*$B$44*$B$49</f>
        <v>#REF!</v>
      </c>
      <c r="D49" s="147" t="e">
        <f t="shared" si="15"/>
        <v>#REF!</v>
      </c>
      <c r="E49" s="75" t="e">
        <f t="shared" si="15"/>
        <v>#REF!</v>
      </c>
      <c r="F49" s="92" t="e">
        <f t="shared" si="15"/>
        <v>#REF!</v>
      </c>
      <c r="G49" s="75" t="e">
        <f t="shared" si="15"/>
        <v>#REF!</v>
      </c>
      <c r="H49" s="75" t="e">
        <f t="shared" si="15"/>
        <v>#REF!</v>
      </c>
      <c r="I49" s="75" t="e">
        <f t="shared" si="15"/>
        <v>#REF!</v>
      </c>
      <c r="J49" s="75" t="e">
        <f t="shared" si="15"/>
        <v>#REF!</v>
      </c>
      <c r="K49" s="75" t="e">
        <f t="shared" si="15"/>
        <v>#REF!</v>
      </c>
      <c r="L49" s="75" t="e">
        <f>K49</f>
        <v>#REF!</v>
      </c>
    </row>
    <row r="50" spans="1:12" ht="12.75">
      <c r="A50" s="93" t="s">
        <v>55</v>
      </c>
      <c r="B50" s="77"/>
      <c r="C50" s="78" t="e">
        <f aca="true" t="shared" si="16" ref="C50:L50">SUM(C45:C49)</f>
        <v>#REF!</v>
      </c>
      <c r="D50" s="78" t="e">
        <f t="shared" si="16"/>
        <v>#REF!</v>
      </c>
      <c r="E50" s="78" t="e">
        <f t="shared" si="16"/>
        <v>#REF!</v>
      </c>
      <c r="F50" s="98" t="e">
        <f t="shared" si="16"/>
        <v>#REF!</v>
      </c>
      <c r="G50" s="78" t="e">
        <f t="shared" si="16"/>
        <v>#REF!</v>
      </c>
      <c r="H50" s="78" t="e">
        <f t="shared" si="16"/>
        <v>#REF!</v>
      </c>
      <c r="I50" s="78" t="e">
        <f t="shared" si="16"/>
        <v>#REF!</v>
      </c>
      <c r="J50" s="78" t="e">
        <f t="shared" si="16"/>
        <v>#REF!</v>
      </c>
      <c r="K50" s="78" t="e">
        <f t="shared" si="16"/>
        <v>#REF!</v>
      </c>
      <c r="L50" s="78" t="e">
        <f t="shared" si="16"/>
        <v>#REF!</v>
      </c>
    </row>
    <row r="51" spans="1:12" ht="12.75">
      <c r="A51" s="26" t="s">
        <v>48</v>
      </c>
      <c r="B51" s="74">
        <v>45</v>
      </c>
      <c r="C51" s="52" t="e">
        <f aca="true" t="shared" si="17" ref="C51:L51">C37/90*$B$51*(1-$B$44)</f>
        <v>#REF!</v>
      </c>
      <c r="D51" s="20" t="e">
        <f t="shared" si="17"/>
        <v>#REF!</v>
      </c>
      <c r="E51" s="52" t="e">
        <f t="shared" si="17"/>
        <v>#REF!</v>
      </c>
      <c r="F51" s="62" t="e">
        <f t="shared" si="17"/>
        <v>#REF!</v>
      </c>
      <c r="G51" s="52" t="e">
        <f t="shared" si="17"/>
        <v>#REF!</v>
      </c>
      <c r="H51" s="52" t="e">
        <f t="shared" si="17"/>
        <v>#REF!</v>
      </c>
      <c r="I51" s="52" t="e">
        <f t="shared" si="17"/>
        <v>#REF!</v>
      </c>
      <c r="J51" s="52" t="e">
        <f t="shared" si="17"/>
        <v>#REF!</v>
      </c>
      <c r="K51" s="52" t="e">
        <f t="shared" si="17"/>
        <v>#REF!</v>
      </c>
      <c r="L51" s="52" t="e">
        <f t="shared" si="17"/>
        <v>#REF!</v>
      </c>
    </row>
    <row r="52" spans="1:12" ht="12.75">
      <c r="A52" s="32" t="s">
        <v>49</v>
      </c>
      <c r="B52" s="74">
        <v>5</v>
      </c>
      <c r="C52" s="75">
        <f aca="true" t="shared" si="18" ref="C52:K52">D9/90*$B$52*$B$43</f>
        <v>0</v>
      </c>
      <c r="D52" s="147">
        <f t="shared" si="18"/>
        <v>0</v>
      </c>
      <c r="E52" s="75">
        <f t="shared" si="18"/>
        <v>0</v>
      </c>
      <c r="F52" s="92">
        <f t="shared" si="18"/>
        <v>0</v>
      </c>
      <c r="G52" s="75">
        <f t="shared" si="18"/>
        <v>0</v>
      </c>
      <c r="H52" s="75">
        <f t="shared" si="18"/>
        <v>0</v>
      </c>
      <c r="I52" s="75">
        <f t="shared" si="18"/>
        <v>0</v>
      </c>
      <c r="J52" s="75">
        <f t="shared" si="18"/>
        <v>0</v>
      </c>
      <c r="K52" s="75">
        <f t="shared" si="18"/>
        <v>0</v>
      </c>
      <c r="L52" s="75">
        <f>K52</f>
        <v>0</v>
      </c>
    </row>
    <row r="53" spans="1:12" ht="25.5">
      <c r="A53" s="9" t="s">
        <v>50</v>
      </c>
      <c r="B53" s="74">
        <v>45</v>
      </c>
      <c r="C53" s="52">
        <f aca="true" t="shared" si="19" ref="C53:L53">C9/90*$B$53/2</f>
        <v>0</v>
      </c>
      <c r="D53" s="20">
        <f t="shared" si="19"/>
        <v>0</v>
      </c>
      <c r="E53" s="52">
        <f t="shared" si="19"/>
        <v>0</v>
      </c>
      <c r="F53" s="62">
        <f t="shared" si="19"/>
        <v>0</v>
      </c>
      <c r="G53" s="52">
        <f t="shared" si="19"/>
        <v>0</v>
      </c>
      <c r="H53" s="52">
        <f t="shared" si="19"/>
        <v>0</v>
      </c>
      <c r="I53" s="52">
        <f t="shared" si="19"/>
        <v>0</v>
      </c>
      <c r="J53" s="52">
        <f t="shared" si="19"/>
        <v>0</v>
      </c>
      <c r="K53" s="52">
        <f t="shared" si="19"/>
        <v>0</v>
      </c>
      <c r="L53" s="52">
        <f t="shared" si="19"/>
        <v>0</v>
      </c>
    </row>
    <row r="54" spans="1:12" ht="12.75">
      <c r="A54" s="26" t="s">
        <v>51</v>
      </c>
      <c r="B54" s="74">
        <v>0</v>
      </c>
      <c r="C54" s="52" t="e">
        <f aca="true" t="shared" si="20" ref="C54:L54">C37/90*vat2/2</f>
        <v>#REF!</v>
      </c>
      <c r="D54" s="20" t="e">
        <f t="shared" si="20"/>
        <v>#REF!</v>
      </c>
      <c r="E54" s="52" t="e">
        <f t="shared" si="20"/>
        <v>#REF!</v>
      </c>
      <c r="F54" s="62" t="e">
        <f t="shared" si="20"/>
        <v>#REF!</v>
      </c>
      <c r="G54" s="52" t="e">
        <f t="shared" si="20"/>
        <v>#REF!</v>
      </c>
      <c r="H54" s="52" t="e">
        <f t="shared" si="20"/>
        <v>#REF!</v>
      </c>
      <c r="I54" s="52" t="e">
        <f t="shared" si="20"/>
        <v>#REF!</v>
      </c>
      <c r="J54" s="52" t="e">
        <f t="shared" si="20"/>
        <v>#REF!</v>
      </c>
      <c r="K54" s="52" t="e">
        <f t="shared" si="20"/>
        <v>#REF!</v>
      </c>
      <c r="L54" s="52" t="e">
        <f t="shared" si="20"/>
        <v>#REF!</v>
      </c>
    </row>
    <row r="55" spans="1:12" ht="12.75">
      <c r="A55" s="79" t="s">
        <v>56</v>
      </c>
      <c r="B55" s="80"/>
      <c r="C55" s="81" t="e">
        <f aca="true" t="shared" si="21" ref="C55:L55">SUM(C51:C54)</f>
        <v>#REF!</v>
      </c>
      <c r="D55" s="96" t="e">
        <f t="shared" si="21"/>
        <v>#REF!</v>
      </c>
      <c r="E55" s="81" t="e">
        <f t="shared" si="21"/>
        <v>#REF!</v>
      </c>
      <c r="F55" s="99" t="e">
        <f t="shared" si="21"/>
        <v>#REF!</v>
      </c>
      <c r="G55" s="81" t="e">
        <f t="shared" si="21"/>
        <v>#REF!</v>
      </c>
      <c r="H55" s="81" t="e">
        <f t="shared" si="21"/>
        <v>#REF!</v>
      </c>
      <c r="I55" s="81" t="e">
        <f t="shared" si="21"/>
        <v>#REF!</v>
      </c>
      <c r="J55" s="81" t="e">
        <f t="shared" si="21"/>
        <v>#REF!</v>
      </c>
      <c r="K55" s="81" t="e">
        <f t="shared" si="21"/>
        <v>#REF!</v>
      </c>
      <c r="L55" s="81" t="e">
        <f t="shared" si="21"/>
        <v>#REF!</v>
      </c>
    </row>
    <row r="56" spans="1:12" ht="12.75">
      <c r="A56" s="76" t="s">
        <v>57</v>
      </c>
      <c r="B56" s="97"/>
      <c r="C56" s="78" t="e">
        <f aca="true" t="shared" si="22" ref="C56:L56">C50-C55</f>
        <v>#REF!</v>
      </c>
      <c r="D56" s="78" t="e">
        <f t="shared" si="22"/>
        <v>#REF!</v>
      </c>
      <c r="E56" s="78" t="e">
        <f t="shared" si="22"/>
        <v>#REF!</v>
      </c>
      <c r="F56" s="98" t="e">
        <f t="shared" si="22"/>
        <v>#REF!</v>
      </c>
      <c r="G56" s="78" t="e">
        <f t="shared" si="22"/>
        <v>#REF!</v>
      </c>
      <c r="H56" s="78" t="e">
        <f t="shared" si="22"/>
        <v>#REF!</v>
      </c>
      <c r="I56" s="78" t="e">
        <f t="shared" si="22"/>
        <v>#REF!</v>
      </c>
      <c r="J56" s="78" t="e">
        <f t="shared" si="22"/>
        <v>#REF!</v>
      </c>
      <c r="K56" s="78" t="e">
        <f t="shared" si="22"/>
        <v>#REF!</v>
      </c>
      <c r="L56" s="78" t="e">
        <f t="shared" si="22"/>
        <v>#REF!</v>
      </c>
    </row>
    <row r="57" spans="1:13" ht="8.25" customHeight="1">
      <c r="A57" s="94"/>
      <c r="B57" s="95"/>
      <c r="C57" s="96"/>
      <c r="D57" s="96"/>
      <c r="E57" s="96"/>
      <c r="F57" s="99"/>
      <c r="G57" s="96"/>
      <c r="H57" s="96"/>
      <c r="I57" s="96"/>
      <c r="J57" s="96"/>
      <c r="K57" s="96"/>
      <c r="L57" s="96"/>
      <c r="M57" s="102"/>
    </row>
    <row r="58" spans="1:12" ht="13.5" thickBot="1">
      <c r="A58" s="100" t="s">
        <v>58</v>
      </c>
      <c r="B58" s="82"/>
      <c r="C58" s="83">
        <v>0</v>
      </c>
      <c r="D58" s="83" t="e">
        <f aca="true" t="shared" si="23" ref="D58:L58">D56-C56</f>
        <v>#REF!</v>
      </c>
      <c r="E58" s="83" t="e">
        <f t="shared" si="23"/>
        <v>#REF!</v>
      </c>
      <c r="F58" s="101" t="e">
        <f t="shared" si="23"/>
        <v>#REF!</v>
      </c>
      <c r="G58" s="83" t="e">
        <f t="shared" si="23"/>
        <v>#REF!</v>
      </c>
      <c r="H58" s="83" t="e">
        <f t="shared" si="23"/>
        <v>#REF!</v>
      </c>
      <c r="I58" s="83" t="e">
        <f t="shared" si="23"/>
        <v>#REF!</v>
      </c>
      <c r="J58" s="83" t="e">
        <f t="shared" si="23"/>
        <v>#REF!</v>
      </c>
      <c r="K58" s="83" t="e">
        <f t="shared" si="23"/>
        <v>#REF!</v>
      </c>
      <c r="L58" s="83" t="e">
        <f t="shared" si="23"/>
        <v>#REF!</v>
      </c>
    </row>
    <row r="59" spans="4:6" ht="13.5" thickTop="1">
      <c r="D59" s="102"/>
      <c r="F59" s="60"/>
    </row>
    <row r="60" spans="4:6" ht="13.5" thickBot="1">
      <c r="D60" s="102"/>
      <c r="F60" s="60"/>
    </row>
    <row r="61" spans="1:83" s="3" customFormat="1" ht="13.5" thickBot="1">
      <c r="A61" s="43" t="s">
        <v>59</v>
      </c>
      <c r="B61" s="167" t="s">
        <v>86</v>
      </c>
      <c r="C61" s="44" t="s">
        <v>20</v>
      </c>
      <c r="D61" s="44" t="s">
        <v>21</v>
      </c>
      <c r="E61" s="44" t="s">
        <v>22</v>
      </c>
      <c r="F61" s="61" t="s">
        <v>23</v>
      </c>
      <c r="G61" s="44" t="s">
        <v>24</v>
      </c>
      <c r="H61" s="44" t="s">
        <v>25</v>
      </c>
      <c r="I61" s="44" t="s">
        <v>26</v>
      </c>
      <c r="J61" s="44" t="s">
        <v>27</v>
      </c>
      <c r="K61" s="44" t="s">
        <v>28</v>
      </c>
      <c r="L61" s="44" t="s">
        <v>29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s="3" customFormat="1" ht="13.5" customHeight="1">
      <c r="A62" s="9" t="s">
        <v>67</v>
      </c>
      <c r="B62" s="16"/>
      <c r="C62" s="52">
        <f>потоки!C44</f>
        <v>20000</v>
      </c>
      <c r="D62" s="52">
        <f>потоки!D44</f>
        <v>0</v>
      </c>
      <c r="E62" s="52">
        <f>потоки!E44</f>
        <v>0</v>
      </c>
      <c r="F62" s="52">
        <f>потоки!F44</f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s="3" customFormat="1" ht="13.5" customHeight="1">
      <c r="A63" s="50" t="s">
        <v>41</v>
      </c>
      <c r="B63" s="105">
        <v>0.038400000000000004</v>
      </c>
      <c r="C63" s="3">
        <v>0</v>
      </c>
      <c r="D63" s="143">
        <v>0</v>
      </c>
      <c r="E63" s="58">
        <v>0</v>
      </c>
      <c r="F63" s="63">
        <v>0</v>
      </c>
      <c r="G63" s="58">
        <f aca="true" t="shared" si="24" ref="G63:L63">SUM($C$62:$F$62)/1.2*$B$63/4</f>
        <v>160.00000000000003</v>
      </c>
      <c r="H63" s="58">
        <f t="shared" si="24"/>
        <v>160.00000000000003</v>
      </c>
      <c r="I63" s="58">
        <f t="shared" si="24"/>
        <v>160.00000000000003</v>
      </c>
      <c r="J63" s="58">
        <f t="shared" si="24"/>
        <v>160.00000000000003</v>
      </c>
      <c r="K63" s="58">
        <f t="shared" si="24"/>
        <v>160.00000000000003</v>
      </c>
      <c r="L63" s="58">
        <f t="shared" si="24"/>
        <v>160.00000000000003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12" ht="13.5" thickBot="1">
      <c r="A64" s="103" t="s">
        <v>68</v>
      </c>
      <c r="B64" s="163" t="str">
        <f>B37</f>
        <v>млн. руб.</v>
      </c>
      <c r="C64" s="106">
        <f>C62/1.2</f>
        <v>16666.666666666668</v>
      </c>
      <c r="D64" s="106">
        <f>C64+D62/1.2-D63</f>
        <v>16666.666666666668</v>
      </c>
      <c r="E64" s="106">
        <f aca="true" t="shared" si="25" ref="E64:L64">D64+E62-E63</f>
        <v>16666.666666666668</v>
      </c>
      <c r="F64" s="107">
        <f t="shared" si="25"/>
        <v>16666.666666666668</v>
      </c>
      <c r="G64" s="106">
        <f t="shared" si="25"/>
        <v>16506.666666666668</v>
      </c>
      <c r="H64" s="106">
        <f t="shared" si="25"/>
        <v>16346.666666666668</v>
      </c>
      <c r="I64" s="106">
        <f t="shared" si="25"/>
        <v>16186.666666666668</v>
      </c>
      <c r="J64" s="106">
        <f t="shared" si="25"/>
        <v>16026.666666666668</v>
      </c>
      <c r="K64" s="106">
        <f t="shared" si="25"/>
        <v>15866.666666666668</v>
      </c>
      <c r="L64" s="106">
        <f t="shared" si="25"/>
        <v>15706.666666666668</v>
      </c>
    </row>
    <row r="65" spans="1:6" ht="13.5" thickTop="1">
      <c r="A65" s="8"/>
      <c r="D65" s="102"/>
      <c r="F65" s="60"/>
    </row>
    <row r="66" spans="1:6" ht="12.75">
      <c r="A66" s="8"/>
      <c r="D66" s="102"/>
      <c r="F66" s="60"/>
    </row>
    <row r="67" spans="4:6" ht="9.75" customHeight="1" thickBot="1">
      <c r="D67" s="102"/>
      <c r="F67" s="60"/>
    </row>
    <row r="68" spans="1:83" s="3" customFormat="1" ht="13.5" thickBot="1">
      <c r="A68" s="43" t="s">
        <v>19</v>
      </c>
      <c r="B68" s="167" t="s">
        <v>86</v>
      </c>
      <c r="C68" s="44" t="s">
        <v>20</v>
      </c>
      <c r="D68" s="44" t="s">
        <v>21</v>
      </c>
      <c r="E68" s="44" t="s">
        <v>22</v>
      </c>
      <c r="F68" s="61" t="s">
        <v>23</v>
      </c>
      <c r="G68" s="44" t="s">
        <v>24</v>
      </c>
      <c r="H68" s="44" t="s">
        <v>25</v>
      </c>
      <c r="I68" s="44" t="s">
        <v>26</v>
      </c>
      <c r="J68" s="44" t="s">
        <v>27</v>
      </c>
      <c r="K68" s="44" t="s">
        <v>28</v>
      </c>
      <c r="L68" s="44" t="s">
        <v>29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s="3" customFormat="1" ht="13.5" customHeight="1">
      <c r="A69" s="9" t="s">
        <v>1</v>
      </c>
      <c r="B69" s="16"/>
      <c r="C69" s="52">
        <f aca="true" t="shared" si="26" ref="C69:L69">C9</f>
        <v>0</v>
      </c>
      <c r="D69" s="20">
        <f t="shared" si="26"/>
        <v>0</v>
      </c>
      <c r="E69" s="52">
        <f t="shared" si="26"/>
        <v>0</v>
      </c>
      <c r="F69" s="62">
        <f t="shared" si="26"/>
        <v>0</v>
      </c>
      <c r="G69" s="52">
        <f t="shared" si="26"/>
        <v>0</v>
      </c>
      <c r="H69" s="52">
        <f t="shared" si="26"/>
        <v>0</v>
      </c>
      <c r="I69" s="52">
        <f t="shared" si="26"/>
        <v>0</v>
      </c>
      <c r="J69" s="52">
        <f t="shared" si="26"/>
        <v>0</v>
      </c>
      <c r="K69" s="52">
        <f t="shared" si="26"/>
        <v>0</v>
      </c>
      <c r="L69" s="52">
        <f t="shared" si="26"/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s="3" customFormat="1" ht="13.5" customHeight="1">
      <c r="A70" s="9" t="s">
        <v>2</v>
      </c>
      <c r="B70" s="16"/>
      <c r="C70" s="42">
        <v>0</v>
      </c>
      <c r="D70" s="56">
        <v>0</v>
      </c>
      <c r="E70" s="42">
        <v>0</v>
      </c>
      <c r="F70" s="152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s="140" customFormat="1" ht="13.5" customHeight="1">
      <c r="A71" s="138" t="s">
        <v>8</v>
      </c>
      <c r="B71" s="42"/>
      <c r="C71" s="52">
        <v>0</v>
      </c>
      <c r="D71" s="56">
        <v>0</v>
      </c>
      <c r="E71" s="42">
        <v>0</v>
      </c>
      <c r="F71" s="6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</row>
    <row r="72" spans="1:83" s="5" customFormat="1" ht="13.5" customHeight="1">
      <c r="A72" s="10" t="s">
        <v>3</v>
      </c>
      <c r="B72" s="17"/>
      <c r="C72" s="78">
        <f aca="true" t="shared" si="27" ref="C72:L72">SUM(C69:C71)</f>
        <v>0</v>
      </c>
      <c r="D72" s="46">
        <f t="shared" si="27"/>
        <v>0</v>
      </c>
      <c r="E72" s="46">
        <f t="shared" si="27"/>
        <v>0</v>
      </c>
      <c r="F72" s="155">
        <f t="shared" si="27"/>
        <v>0</v>
      </c>
      <c r="G72" s="17">
        <f t="shared" si="27"/>
        <v>0</v>
      </c>
      <c r="H72" s="17">
        <f t="shared" si="27"/>
        <v>0</v>
      </c>
      <c r="I72" s="17">
        <f t="shared" si="27"/>
        <v>0</v>
      </c>
      <c r="J72" s="17">
        <f t="shared" si="27"/>
        <v>0</v>
      </c>
      <c r="K72" s="17">
        <f t="shared" si="27"/>
        <v>0</v>
      </c>
      <c r="L72" s="17">
        <f t="shared" si="27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s="3" customFormat="1" ht="13.5" customHeight="1">
      <c r="A73" s="9" t="s">
        <v>62</v>
      </c>
      <c r="B73" s="16"/>
      <c r="C73" s="52">
        <f>-C62</f>
        <v>-20000</v>
      </c>
      <c r="D73" s="20">
        <f>-D62</f>
        <v>0</v>
      </c>
      <c r="E73" s="52">
        <f>-E62</f>
        <v>0</v>
      </c>
      <c r="F73" s="62">
        <f>-F62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s="3" customFormat="1" ht="13.5" customHeight="1">
      <c r="A74" s="9" t="s">
        <v>63</v>
      </c>
      <c r="B74" s="16"/>
      <c r="C74" s="52">
        <f>-C58</f>
        <v>0</v>
      </c>
      <c r="D74" s="20" t="e">
        <f aca="true" t="shared" si="28" ref="D74:L74">-D58</f>
        <v>#REF!</v>
      </c>
      <c r="E74" s="52" t="e">
        <f t="shared" si="28"/>
        <v>#REF!</v>
      </c>
      <c r="F74" s="62" t="e">
        <f t="shared" si="28"/>
        <v>#REF!</v>
      </c>
      <c r="G74" s="52" t="e">
        <f t="shared" si="28"/>
        <v>#REF!</v>
      </c>
      <c r="H74" s="52" t="e">
        <f t="shared" si="28"/>
        <v>#REF!</v>
      </c>
      <c r="I74" s="52" t="e">
        <f t="shared" si="28"/>
        <v>#REF!</v>
      </c>
      <c r="J74" s="52" t="e">
        <f t="shared" si="28"/>
        <v>#REF!</v>
      </c>
      <c r="K74" s="52" t="e">
        <f t="shared" si="28"/>
        <v>#REF!</v>
      </c>
      <c r="L74" s="52" t="e">
        <f t="shared" si="28"/>
        <v>#REF!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s="3" customFormat="1" ht="13.5" customHeight="1">
      <c r="A75" s="9" t="s">
        <v>61</v>
      </c>
      <c r="B75" s="16"/>
      <c r="C75" s="52" t="e">
        <f aca="true" t="shared" si="29" ref="C75:L75">-(C37-C35)</f>
        <v>#REF!</v>
      </c>
      <c r="D75" s="20" t="e">
        <f t="shared" si="29"/>
        <v>#REF!</v>
      </c>
      <c r="E75" s="52" t="e">
        <f t="shared" si="29"/>
        <v>#REF!</v>
      </c>
      <c r="F75" s="62" t="e">
        <f t="shared" si="29"/>
        <v>#REF!</v>
      </c>
      <c r="G75" s="52" t="e">
        <f t="shared" si="29"/>
        <v>#REF!</v>
      </c>
      <c r="H75" s="52" t="e">
        <f t="shared" si="29"/>
        <v>#REF!</v>
      </c>
      <c r="I75" s="52" t="e">
        <f t="shared" si="29"/>
        <v>#REF!</v>
      </c>
      <c r="J75" s="52" t="e">
        <f t="shared" si="29"/>
        <v>#REF!</v>
      </c>
      <c r="K75" s="52" t="e">
        <f t="shared" si="29"/>
        <v>#REF!</v>
      </c>
      <c r="L75" s="52" t="e">
        <f t="shared" si="29"/>
        <v>#REF!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s="3" customFormat="1" ht="13.5" customHeight="1">
      <c r="A76" s="9" t="s">
        <v>64</v>
      </c>
      <c r="B76" s="121">
        <v>0</v>
      </c>
      <c r="C76" s="110">
        <f aca="true" t="shared" si="30" ref="C76:L76">-$B$76*C69</f>
        <v>0</v>
      </c>
      <c r="D76" s="148">
        <f t="shared" si="30"/>
        <v>0</v>
      </c>
      <c r="E76" s="110">
        <f t="shared" si="30"/>
        <v>0</v>
      </c>
      <c r="F76" s="113">
        <f t="shared" si="30"/>
        <v>0</v>
      </c>
      <c r="G76" s="110">
        <f t="shared" si="30"/>
        <v>0</v>
      </c>
      <c r="H76" s="110">
        <f t="shared" si="30"/>
        <v>0</v>
      </c>
      <c r="I76" s="110">
        <f t="shared" si="30"/>
        <v>0</v>
      </c>
      <c r="J76" s="110">
        <f t="shared" si="30"/>
        <v>0</v>
      </c>
      <c r="K76" s="110">
        <f t="shared" si="30"/>
        <v>0</v>
      </c>
      <c r="L76" s="110">
        <f t="shared" si="30"/>
        <v>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s="3" customFormat="1" ht="13.5" customHeight="1">
      <c r="A77" s="9" t="s">
        <v>65</v>
      </c>
      <c r="B77" s="122">
        <v>0.02</v>
      </c>
      <c r="C77" s="110">
        <v>0</v>
      </c>
      <c r="D77" s="148">
        <v>0</v>
      </c>
      <c r="E77" s="110">
        <v>0</v>
      </c>
      <c r="F77" s="113">
        <v>0</v>
      </c>
      <c r="G77" s="110" t="e">
        <f aca="true" t="shared" si="31" ref="G77:L77">-$B$77*(G64+G45+G46+G47)</f>
        <v>#REF!</v>
      </c>
      <c r="H77" s="110" t="e">
        <f t="shared" si="31"/>
        <v>#REF!</v>
      </c>
      <c r="I77" s="110" t="e">
        <f t="shared" si="31"/>
        <v>#REF!</v>
      </c>
      <c r="J77" s="110" t="e">
        <f t="shared" si="31"/>
        <v>#REF!</v>
      </c>
      <c r="K77" s="110" t="e">
        <f t="shared" si="31"/>
        <v>#REF!</v>
      </c>
      <c r="L77" s="110" t="e">
        <f t="shared" si="31"/>
        <v>#REF!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s="140" customFormat="1" ht="13.5" customHeight="1">
      <c r="A78" s="138" t="s">
        <v>60</v>
      </c>
      <c r="B78" s="141">
        <v>0.25</v>
      </c>
      <c r="C78" s="42">
        <v>0</v>
      </c>
      <c r="D78" s="20">
        <f>-$C$71*$B$78/4</f>
        <v>0</v>
      </c>
      <c r="E78" s="52">
        <f>-(($C$71+SUM($C$81:D81))*$B$78/4)</f>
        <v>0</v>
      </c>
      <c r="F78" s="62">
        <f>-(($C$71+SUM($C$81:E81))*$B$78/4)</f>
        <v>0</v>
      </c>
      <c r="G78" s="52">
        <f>-(($C$71+SUM($C$81:F81))*$B$78/4)</f>
        <v>0</v>
      </c>
      <c r="H78" s="52">
        <f>-(($C$71+SUM($C$81:G81))*$B$78/4)</f>
        <v>0</v>
      </c>
      <c r="I78" s="52">
        <f>-(($C$71+SUM($C$81:H81))*$B$78/4)</f>
        <v>0</v>
      </c>
      <c r="J78" s="52">
        <f>-(($C$71+SUM($C$81:I81))*$B$78/4)</f>
        <v>0</v>
      </c>
      <c r="K78" s="52">
        <f>-(($C$71+SUM($C$81:J81))*$B$78/4)</f>
        <v>0</v>
      </c>
      <c r="L78" s="52">
        <f>-(($C$71+SUM($C$81:K81))*$B$78/4)</f>
        <v>0</v>
      </c>
      <c r="M78" s="139">
        <v>0</v>
      </c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</row>
    <row r="79" spans="1:83" s="3" customFormat="1" ht="13.5" customHeight="1">
      <c r="A79" s="11" t="s">
        <v>4</v>
      </c>
      <c r="B79" s="108" t="s">
        <v>0</v>
      </c>
      <c r="C79" s="6" t="e">
        <f aca="true" t="shared" si="32" ref="C79:L79">C69+SUM(C75:C78)</f>
        <v>#REF!</v>
      </c>
      <c r="D79" s="6" t="e">
        <f t="shared" si="32"/>
        <v>#REF!</v>
      </c>
      <c r="E79" s="6" t="e">
        <f t="shared" si="32"/>
        <v>#REF!</v>
      </c>
      <c r="F79" s="114" t="e">
        <f t="shared" si="32"/>
        <v>#REF!</v>
      </c>
      <c r="G79" s="6" t="e">
        <f t="shared" si="32"/>
        <v>#REF!</v>
      </c>
      <c r="H79" s="6" t="e">
        <f t="shared" si="32"/>
        <v>#REF!</v>
      </c>
      <c r="I79" s="6" t="e">
        <f t="shared" si="32"/>
        <v>#REF!</v>
      </c>
      <c r="J79" s="6" t="e">
        <f t="shared" si="32"/>
        <v>#REF!</v>
      </c>
      <c r="K79" s="6" t="e">
        <f t="shared" si="32"/>
        <v>#REF!</v>
      </c>
      <c r="L79" s="6" t="e">
        <f t="shared" si="32"/>
        <v>#REF!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s="3" customFormat="1" ht="13.5" customHeight="1">
      <c r="A80" s="9" t="s">
        <v>66</v>
      </c>
      <c r="B80" s="109">
        <v>0.24</v>
      </c>
      <c r="C80" s="110" t="e">
        <f aca="true" t="shared" si="33" ref="C80:L80">-MAX(0,$B$80*C79)</f>
        <v>#REF!</v>
      </c>
      <c r="D80" s="148" t="e">
        <f t="shared" si="33"/>
        <v>#REF!</v>
      </c>
      <c r="E80" s="110" t="e">
        <f t="shared" si="33"/>
        <v>#REF!</v>
      </c>
      <c r="F80" s="113" t="e">
        <f t="shared" si="33"/>
        <v>#REF!</v>
      </c>
      <c r="G80" s="110" t="e">
        <f t="shared" si="33"/>
        <v>#REF!</v>
      </c>
      <c r="H80" s="110" t="e">
        <f t="shared" si="33"/>
        <v>#REF!</v>
      </c>
      <c r="I80" s="110" t="e">
        <f t="shared" si="33"/>
        <v>#REF!</v>
      </c>
      <c r="J80" s="110" t="e">
        <f t="shared" si="33"/>
        <v>#REF!</v>
      </c>
      <c r="K80" s="110" t="e">
        <f t="shared" si="33"/>
        <v>#REF!</v>
      </c>
      <c r="L80" s="110" t="e">
        <f t="shared" si="33"/>
        <v>#REF!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s="140" customFormat="1" ht="13.5" customHeight="1">
      <c r="A81" s="138" t="s">
        <v>9</v>
      </c>
      <c r="B81" s="42"/>
      <c r="C81" s="42">
        <v>0</v>
      </c>
      <c r="D81" s="56">
        <v>0</v>
      </c>
      <c r="E81" s="52">
        <v>0</v>
      </c>
      <c r="F81" s="62">
        <v>0</v>
      </c>
      <c r="G81" s="52">
        <v>0</v>
      </c>
      <c r="H81" s="52">
        <v>0</v>
      </c>
      <c r="I81" s="42">
        <v>0</v>
      </c>
      <c r="J81" s="42">
        <v>0</v>
      </c>
      <c r="K81" s="42">
        <v>0</v>
      </c>
      <c r="L81" s="42">
        <v>0</v>
      </c>
      <c r="M81" s="139">
        <v>0</v>
      </c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</row>
    <row r="82" spans="1:83" s="5" customFormat="1" ht="12.75">
      <c r="A82" s="10" t="s">
        <v>5</v>
      </c>
      <c r="B82" s="17"/>
      <c r="C82" s="111" t="e">
        <f>SUM(C73:C78)+C80+C81</f>
        <v>#REF!</v>
      </c>
      <c r="D82" s="111" t="e">
        <f aca="true" t="shared" si="34" ref="D82:L82">SUM(D73:D78)+D80+D81</f>
        <v>#REF!</v>
      </c>
      <c r="E82" s="111" t="e">
        <f t="shared" si="34"/>
        <v>#REF!</v>
      </c>
      <c r="F82" s="153" t="e">
        <f t="shared" si="34"/>
        <v>#REF!</v>
      </c>
      <c r="G82" s="111" t="e">
        <f t="shared" si="34"/>
        <v>#REF!</v>
      </c>
      <c r="H82" s="111" t="e">
        <f t="shared" si="34"/>
        <v>#REF!</v>
      </c>
      <c r="I82" s="111" t="e">
        <f t="shared" si="34"/>
        <v>#REF!</v>
      </c>
      <c r="J82" s="111" t="e">
        <f t="shared" si="34"/>
        <v>#REF!</v>
      </c>
      <c r="K82" s="111" t="e">
        <f t="shared" si="34"/>
        <v>#REF!</v>
      </c>
      <c r="L82" s="111" t="e">
        <f t="shared" si="34"/>
        <v>#REF!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3" s="3" customFormat="1" ht="12.75">
      <c r="A83" s="12" t="s">
        <v>6</v>
      </c>
      <c r="B83" s="16"/>
      <c r="C83" s="110" t="e">
        <f aca="true" t="shared" si="35" ref="C83:L83">C72+C82</f>
        <v>#REF!</v>
      </c>
      <c r="D83" s="148" t="e">
        <f t="shared" si="35"/>
        <v>#REF!</v>
      </c>
      <c r="E83" s="110" t="e">
        <f t="shared" si="35"/>
        <v>#REF!</v>
      </c>
      <c r="F83" s="113" t="e">
        <f t="shared" si="35"/>
        <v>#REF!</v>
      </c>
      <c r="G83" s="110" t="e">
        <f t="shared" si="35"/>
        <v>#REF!</v>
      </c>
      <c r="H83" s="110" t="e">
        <f t="shared" si="35"/>
        <v>#REF!</v>
      </c>
      <c r="I83" s="110" t="e">
        <f t="shared" si="35"/>
        <v>#REF!</v>
      </c>
      <c r="J83" s="110" t="e">
        <f t="shared" si="35"/>
        <v>#REF!</v>
      </c>
      <c r="K83" s="110" t="e">
        <f t="shared" si="35"/>
        <v>#REF!</v>
      </c>
      <c r="L83" s="110" t="e">
        <f t="shared" si="35"/>
        <v>#REF!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s="5" customFormat="1" ht="13.5" thickBot="1">
      <c r="A84" s="13" t="s">
        <v>7</v>
      </c>
      <c r="B84" s="18"/>
      <c r="C84" s="112" t="e">
        <f>C83</f>
        <v>#REF!</v>
      </c>
      <c r="D84" s="112" t="e">
        <f aca="true" t="shared" si="36" ref="D84:L84">C84+D83</f>
        <v>#REF!</v>
      </c>
      <c r="E84" s="112" t="e">
        <f t="shared" si="36"/>
        <v>#REF!</v>
      </c>
      <c r="F84" s="115" t="e">
        <f t="shared" si="36"/>
        <v>#REF!</v>
      </c>
      <c r="G84" s="112" t="e">
        <f t="shared" si="36"/>
        <v>#REF!</v>
      </c>
      <c r="H84" s="112" t="e">
        <f t="shared" si="36"/>
        <v>#REF!</v>
      </c>
      <c r="I84" s="112" t="e">
        <f t="shared" si="36"/>
        <v>#REF!</v>
      </c>
      <c r="J84" s="112" t="e">
        <f t="shared" si="36"/>
        <v>#REF!</v>
      </c>
      <c r="K84" s="112" t="e">
        <f t="shared" si="36"/>
        <v>#REF!</v>
      </c>
      <c r="L84" s="112" t="e">
        <f t="shared" si="36"/>
        <v>#REF!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1:6" ht="13.5" hidden="1" thickTop="1">
      <c r="A85" s="14"/>
      <c r="B85" s="15"/>
      <c r="D85" s="102"/>
      <c r="F85" s="60"/>
    </row>
    <row r="86" spans="1:6" ht="13.5" hidden="1" thickTop="1">
      <c r="A86" s="14"/>
      <c r="B86" s="15"/>
      <c r="D86" s="102"/>
      <c r="F86" s="60"/>
    </row>
    <row r="87" spans="1:6" ht="13.5" thickTop="1">
      <c r="A87" s="14"/>
      <c r="B87" s="15"/>
      <c r="D87" s="102"/>
      <c r="F87" s="60"/>
    </row>
    <row r="88" spans="4:6" ht="12.75">
      <c r="D88" s="102"/>
      <c r="F88" s="60"/>
    </row>
    <row r="89" spans="4:6" ht="13.5" thickBot="1">
      <c r="D89" s="102"/>
      <c r="F89" s="60"/>
    </row>
    <row r="90" spans="1:12" ht="30.75" customHeight="1" thickBot="1">
      <c r="A90" s="43" t="s">
        <v>16</v>
      </c>
      <c r="B90" s="44"/>
      <c r="C90" s="44" t="str">
        <f aca="true" t="shared" si="37" ref="C90:L90">C68</f>
        <v>1 кв</v>
      </c>
      <c r="D90" s="44" t="str">
        <f t="shared" si="37"/>
        <v>2 кв</v>
      </c>
      <c r="E90" s="44" t="str">
        <f t="shared" si="37"/>
        <v>3 кв </v>
      </c>
      <c r="F90" s="61" t="str">
        <f t="shared" si="37"/>
        <v>4 кв</v>
      </c>
      <c r="G90" s="44" t="str">
        <f t="shared" si="37"/>
        <v>5 кв</v>
      </c>
      <c r="H90" s="44" t="str">
        <f t="shared" si="37"/>
        <v>6 кв</v>
      </c>
      <c r="I90" s="44" t="str">
        <f t="shared" si="37"/>
        <v>7 кв</v>
      </c>
      <c r="J90" s="44" t="str">
        <f t="shared" si="37"/>
        <v>8 кв</v>
      </c>
      <c r="K90" s="44" t="str">
        <f t="shared" si="37"/>
        <v>9 кв</v>
      </c>
      <c r="L90" s="44" t="str">
        <f t="shared" si="37"/>
        <v>10 кв</v>
      </c>
    </row>
    <row r="91" spans="1:12" ht="12.75">
      <c r="A91" s="21"/>
      <c r="B91" s="22"/>
      <c r="C91" s="20"/>
      <c r="D91" s="20"/>
      <c r="E91" s="20"/>
      <c r="F91" s="62"/>
      <c r="G91" s="20"/>
      <c r="H91" s="20"/>
      <c r="I91" s="20"/>
      <c r="J91" s="20"/>
      <c r="K91" s="20"/>
      <c r="L91" s="20"/>
    </row>
    <row r="92" spans="1:12" ht="12.75">
      <c r="A92" s="26" t="s">
        <v>10</v>
      </c>
      <c r="B92" s="19" t="s">
        <v>0</v>
      </c>
      <c r="C92" s="123" t="e">
        <f>C69+C73+C74+C75+C76+C77+C80</f>
        <v>#REF!</v>
      </c>
      <c r="D92" s="149" t="e">
        <f aca="true" t="shared" si="38" ref="D92:L92">D69+D73+D74+D75+D76+D77+D80</f>
        <v>#REF!</v>
      </c>
      <c r="E92" s="123" t="e">
        <f t="shared" si="38"/>
        <v>#REF!</v>
      </c>
      <c r="F92" s="124" t="e">
        <f t="shared" si="38"/>
        <v>#REF!</v>
      </c>
      <c r="G92" s="123" t="e">
        <f t="shared" si="38"/>
        <v>#REF!</v>
      </c>
      <c r="H92" s="123" t="e">
        <f t="shared" si="38"/>
        <v>#REF!</v>
      </c>
      <c r="I92" s="123" t="e">
        <f t="shared" si="38"/>
        <v>#REF!</v>
      </c>
      <c r="J92" s="123" t="e">
        <f t="shared" si="38"/>
        <v>#REF!</v>
      </c>
      <c r="K92" s="123" t="e">
        <f t="shared" si="38"/>
        <v>#REF!</v>
      </c>
      <c r="L92" s="123" t="e">
        <f t="shared" si="38"/>
        <v>#REF!</v>
      </c>
    </row>
    <row r="93" spans="1:12" ht="12.75">
      <c r="A93" s="26" t="s">
        <v>11</v>
      </c>
      <c r="B93" s="23"/>
      <c r="C93" s="123" t="e">
        <f>C92-0.000001</f>
        <v>#REF!</v>
      </c>
      <c r="D93" s="149" t="e">
        <f aca="true" t="shared" si="39" ref="D93:L93">C93+D92</f>
        <v>#REF!</v>
      </c>
      <c r="E93" s="123" t="e">
        <f t="shared" si="39"/>
        <v>#REF!</v>
      </c>
      <c r="F93" s="124" t="e">
        <f t="shared" si="39"/>
        <v>#REF!</v>
      </c>
      <c r="G93" s="123" t="e">
        <f t="shared" si="39"/>
        <v>#REF!</v>
      </c>
      <c r="H93" s="123" t="e">
        <f t="shared" si="39"/>
        <v>#REF!</v>
      </c>
      <c r="I93" s="123" t="e">
        <f t="shared" si="39"/>
        <v>#REF!</v>
      </c>
      <c r="J93" s="123" t="e">
        <f t="shared" si="39"/>
        <v>#REF!</v>
      </c>
      <c r="K93" s="123" t="e">
        <f t="shared" si="39"/>
        <v>#REF!</v>
      </c>
      <c r="L93" s="123" t="e">
        <f t="shared" si="39"/>
        <v>#REF!</v>
      </c>
    </row>
    <row r="94" spans="1:12" ht="12.75">
      <c r="A94" s="32" t="s">
        <v>18</v>
      </c>
      <c r="B94" s="31">
        <v>0.12</v>
      </c>
      <c r="C94" s="125" t="s">
        <v>0</v>
      </c>
      <c r="D94" s="131" t="s">
        <v>0</v>
      </c>
      <c r="E94" s="125" t="s">
        <v>0</v>
      </c>
      <c r="F94" s="154" t="s">
        <v>0</v>
      </c>
      <c r="G94" s="127" t="s">
        <v>0</v>
      </c>
      <c r="H94" s="127" t="s">
        <v>0</v>
      </c>
      <c r="I94" s="127" t="s">
        <v>0</v>
      </c>
      <c r="J94" s="127" t="s">
        <v>0</v>
      </c>
      <c r="K94" s="127" t="s">
        <v>0</v>
      </c>
      <c r="L94" s="127" t="s">
        <v>0</v>
      </c>
    </row>
    <row r="95" spans="1:12" ht="12.75">
      <c r="A95" s="40" t="s">
        <v>17</v>
      </c>
      <c r="B95" s="35"/>
      <c r="C95" s="136">
        <f>1/(1+$B$94/4)^(1-1)</f>
        <v>1</v>
      </c>
      <c r="D95" s="136">
        <f>1/(1+$B$94/4)^(2-1)</f>
        <v>0.970873786407767</v>
      </c>
      <c r="E95" s="136">
        <f>1/(1+$B$94/4)^(3-1)</f>
        <v>0.9425959091337544</v>
      </c>
      <c r="F95" s="137">
        <f>1/(1+$B$94/4)^(4-1)</f>
        <v>0.9151416593531596</v>
      </c>
      <c r="G95" s="136">
        <f>1/(1+$B$94/4)^(5-1)</f>
        <v>0.888487047915689</v>
      </c>
      <c r="H95" s="136">
        <f>1/(1+$B$94/4)^(6-1)</f>
        <v>0.8626087843841641</v>
      </c>
      <c r="I95" s="136">
        <f>1/(1+$B$94/4)^(7-1)</f>
        <v>0.8374842566836544</v>
      </c>
      <c r="J95" s="136">
        <f>1/(1+$B$94/4)^(8-1)</f>
        <v>0.8130915113433538</v>
      </c>
      <c r="K95" s="136">
        <f>1/(1+$B$94/4)^(9-1)</f>
        <v>0.7894092343139357</v>
      </c>
      <c r="L95" s="136">
        <f>1/(1+$B$94/4)^(10-1)</f>
        <v>0.766416732343627</v>
      </c>
    </row>
    <row r="96" spans="1:12" ht="12.75">
      <c r="A96" s="26" t="s">
        <v>12</v>
      </c>
      <c r="B96" s="24"/>
      <c r="C96" s="125" t="e">
        <f aca="true" t="shared" si="40" ref="C96:L96">C92*C95</f>
        <v>#REF!</v>
      </c>
      <c r="D96" s="131" t="e">
        <f t="shared" si="40"/>
        <v>#REF!</v>
      </c>
      <c r="E96" s="125" t="e">
        <f t="shared" si="40"/>
        <v>#REF!</v>
      </c>
      <c r="F96" s="126" t="e">
        <f t="shared" si="40"/>
        <v>#REF!</v>
      </c>
      <c r="G96" s="125" t="e">
        <f t="shared" si="40"/>
        <v>#REF!</v>
      </c>
      <c r="H96" s="125" t="e">
        <f t="shared" si="40"/>
        <v>#REF!</v>
      </c>
      <c r="I96" s="125" t="e">
        <f t="shared" si="40"/>
        <v>#REF!</v>
      </c>
      <c r="J96" s="125" t="e">
        <f t="shared" si="40"/>
        <v>#REF!</v>
      </c>
      <c r="K96" s="125" t="e">
        <f t="shared" si="40"/>
        <v>#REF!</v>
      </c>
      <c r="L96" s="125" t="e">
        <f t="shared" si="40"/>
        <v>#REF!</v>
      </c>
    </row>
    <row r="97" spans="1:12" ht="12.75">
      <c r="A97" s="33" t="s">
        <v>11</v>
      </c>
      <c r="B97" s="25"/>
      <c r="C97" s="128" t="e">
        <f>C96</f>
        <v>#REF!</v>
      </c>
      <c r="D97" s="130" t="e">
        <f aca="true" t="shared" si="41" ref="D97:L97">C97+D96</f>
        <v>#REF!</v>
      </c>
      <c r="E97" s="130" t="e">
        <f t="shared" si="41"/>
        <v>#REF!</v>
      </c>
      <c r="F97" s="129" t="e">
        <f t="shared" si="41"/>
        <v>#REF!</v>
      </c>
      <c r="G97" s="130" t="e">
        <f t="shared" si="41"/>
        <v>#REF!</v>
      </c>
      <c r="H97" s="130" t="e">
        <f t="shared" si="41"/>
        <v>#REF!</v>
      </c>
      <c r="I97" s="130" t="e">
        <f t="shared" si="41"/>
        <v>#REF!</v>
      </c>
      <c r="J97" s="130" t="e">
        <f t="shared" si="41"/>
        <v>#REF!</v>
      </c>
      <c r="K97" s="130" t="e">
        <f t="shared" si="41"/>
        <v>#REF!</v>
      </c>
      <c r="L97" s="130" t="e">
        <f t="shared" si="41"/>
        <v>#REF!</v>
      </c>
    </row>
    <row r="98" spans="1:12" ht="12.75">
      <c r="A98" s="32"/>
      <c r="B98" s="34"/>
      <c r="C98" s="131"/>
      <c r="D98" s="157"/>
      <c r="E98" s="131"/>
      <c r="F98" s="154"/>
      <c r="G98" s="127"/>
      <c r="H98" s="127"/>
      <c r="I98" s="127"/>
      <c r="J98" s="127"/>
      <c r="K98" s="127"/>
      <c r="L98" s="127"/>
    </row>
    <row r="99" spans="1:12" ht="12.75">
      <c r="A99" s="26" t="s">
        <v>13</v>
      </c>
      <c r="B99" s="36" t="e">
        <f>IF(SUM(C92:L92)&lt;0,"нет",MATCH(1,C93:L93,1)/4)</f>
        <v>#REF!</v>
      </c>
      <c r="C99" s="162" t="e">
        <f>-SUM(C73:F73)/((G79+G80+G35)*4)</f>
        <v>#REF!</v>
      </c>
      <c r="D99" s="156" t="s">
        <v>87</v>
      </c>
      <c r="E99" s="133"/>
      <c r="F99" s="132"/>
      <c r="G99" s="133"/>
      <c r="H99" s="133"/>
      <c r="I99" s="133"/>
      <c r="J99" s="133"/>
      <c r="K99" s="133"/>
      <c r="L99" s="133"/>
    </row>
    <row r="100" spans="1:12" ht="12.75">
      <c r="A100" s="26" t="s">
        <v>14</v>
      </c>
      <c r="B100" s="37" t="e">
        <f>L97</f>
        <v>#REF!</v>
      </c>
      <c r="C100" s="123" t="e">
        <f aca="true" t="shared" si="42" ref="C100:L100">C97</f>
        <v>#REF!</v>
      </c>
      <c r="D100" s="149" t="e">
        <f t="shared" si="42"/>
        <v>#REF!</v>
      </c>
      <c r="E100" s="123" t="e">
        <f t="shared" si="42"/>
        <v>#REF!</v>
      </c>
      <c r="F100" s="124" t="e">
        <f t="shared" si="42"/>
        <v>#REF!</v>
      </c>
      <c r="G100" s="123" t="e">
        <f t="shared" si="42"/>
        <v>#REF!</v>
      </c>
      <c r="H100" s="123" t="e">
        <f t="shared" si="42"/>
        <v>#REF!</v>
      </c>
      <c r="I100" s="123" t="e">
        <f t="shared" si="42"/>
        <v>#REF!</v>
      </c>
      <c r="J100" s="123" t="e">
        <f t="shared" si="42"/>
        <v>#REF!</v>
      </c>
      <c r="K100" s="123" t="e">
        <f t="shared" si="42"/>
        <v>#REF!</v>
      </c>
      <c r="L100" s="123" t="e">
        <f t="shared" si="42"/>
        <v>#REF!</v>
      </c>
    </row>
    <row r="101" spans="1:12" ht="12.75">
      <c r="A101" s="26" t="s">
        <v>15</v>
      </c>
      <c r="B101" s="38" t="e">
        <f>-B100/(C73*C95+D73*D95)</f>
        <v>#REF!</v>
      </c>
      <c r="C101" s="27"/>
      <c r="D101" s="151"/>
      <c r="E101" s="28"/>
      <c r="F101" s="67"/>
      <c r="G101" s="28"/>
      <c r="H101" s="28"/>
      <c r="I101" s="28"/>
      <c r="J101" s="28"/>
      <c r="K101" s="28"/>
      <c r="L101" s="28"/>
    </row>
    <row r="102" spans="1:12" ht="13.5" thickBot="1">
      <c r="A102" s="29" t="s">
        <v>82</v>
      </c>
      <c r="B102" s="39" t="e">
        <f>IRR(C92:L92)*360/90</f>
        <v>#VALUE!</v>
      </c>
      <c r="C102" s="30"/>
      <c r="D102" s="30"/>
      <c r="E102" s="30"/>
      <c r="F102" s="68"/>
      <c r="G102" s="30"/>
      <c r="H102" s="30"/>
      <c r="I102" s="30"/>
      <c r="J102" s="30"/>
      <c r="K102" s="30"/>
      <c r="L102" s="30"/>
    </row>
    <row r="103" spans="4:6" ht="13.5" thickTop="1">
      <c r="D103" s="102"/>
      <c r="F103" s="60"/>
    </row>
    <row r="104" spans="4:6" ht="12.75">
      <c r="D104" s="102"/>
      <c r="F104" s="60"/>
    </row>
    <row r="105" spans="4:6" ht="12.75">
      <c r="D105" s="102"/>
      <c r="F105" s="60"/>
    </row>
    <row r="106" spans="4:6" ht="12.75">
      <c r="D106" s="102"/>
      <c r="F106" s="60"/>
    </row>
    <row r="107" spans="4:6" ht="12.75">
      <c r="D107" s="102"/>
      <c r="F107" s="60"/>
    </row>
    <row r="108" ht="12.75">
      <c r="D108" s="102"/>
    </row>
    <row r="109" ht="12.75">
      <c r="D109" s="102"/>
    </row>
    <row r="110" ht="12.75">
      <c r="D110" s="102"/>
    </row>
    <row r="111" ht="12.75">
      <c r="D111" s="60"/>
    </row>
    <row r="112" ht="12.75">
      <c r="D112" s="60"/>
    </row>
    <row r="113" ht="12.75">
      <c r="D113" s="60"/>
    </row>
    <row r="114" ht="12.75">
      <c r="D114" s="60"/>
    </row>
    <row r="115" ht="12.75">
      <c r="D115" s="60"/>
    </row>
    <row r="116" ht="12.75">
      <c r="D116" s="60"/>
    </row>
    <row r="117" ht="12.75">
      <c r="D117" s="60"/>
    </row>
    <row r="118" ht="12.75">
      <c r="D118" s="60"/>
    </row>
    <row r="119" ht="12.75">
      <c r="D119" s="60"/>
    </row>
    <row r="120" ht="12.75">
      <c r="D120" s="60"/>
    </row>
    <row r="121" ht="12.75">
      <c r="D121" s="60"/>
    </row>
    <row r="122" ht="12.75">
      <c r="D122" s="60"/>
    </row>
    <row r="123" ht="12.75">
      <c r="D123" s="60"/>
    </row>
    <row r="124" ht="12.75">
      <c r="D124" s="60"/>
    </row>
    <row r="125" ht="12.75">
      <c r="D125" s="60"/>
    </row>
    <row r="126" ht="12.75">
      <c r="D126" s="60"/>
    </row>
    <row r="127" ht="12.75">
      <c r="D127" s="60"/>
    </row>
    <row r="128" ht="12.75">
      <c r="D128" s="60"/>
    </row>
    <row r="129" ht="12.75">
      <c r="D129" s="60"/>
    </row>
    <row r="130" ht="12.75">
      <c r="D130" s="60"/>
    </row>
    <row r="131" ht="12.75">
      <c r="D131" s="60"/>
    </row>
    <row r="132" ht="12.75">
      <c r="D132" s="60"/>
    </row>
    <row r="133" ht="12.75">
      <c r="D133" s="60"/>
    </row>
    <row r="134" ht="12.75">
      <c r="D134" s="60"/>
    </row>
    <row r="135" ht="12.75">
      <c r="D135" s="60"/>
    </row>
    <row r="136" ht="12.75">
      <c r="D136" s="60"/>
    </row>
    <row r="137" ht="12.75">
      <c r="D137" s="60"/>
    </row>
    <row r="138" ht="12.75">
      <c r="D138" s="60"/>
    </row>
    <row r="139" ht="12.75">
      <c r="D139" s="60"/>
    </row>
    <row r="140" ht="12.75">
      <c r="D140" s="60"/>
    </row>
    <row r="141" ht="12.75">
      <c r="D141" s="60"/>
    </row>
    <row r="142" ht="12.75">
      <c r="D142" s="60"/>
    </row>
    <row r="143" ht="12.75">
      <c r="D143" s="60"/>
    </row>
    <row r="144" ht="12.75">
      <c r="D144" s="60"/>
    </row>
    <row r="145" ht="12.75">
      <c r="D145" s="60"/>
    </row>
    <row r="146" ht="12.75">
      <c r="D146" s="60"/>
    </row>
    <row r="147" ht="12.75">
      <c r="D147" s="60"/>
    </row>
    <row r="148" ht="12.75">
      <c r="D148" s="60"/>
    </row>
    <row r="149" ht="12.75">
      <c r="D149" s="60"/>
    </row>
    <row r="150" ht="12.75">
      <c r="D150" s="60"/>
    </row>
    <row r="151" ht="12.75">
      <c r="D151" s="60"/>
    </row>
    <row r="152" ht="12.75">
      <c r="D152" s="60"/>
    </row>
    <row r="153" ht="12.75">
      <c r="D153" s="60"/>
    </row>
    <row r="154" ht="12.75">
      <c r="D154" s="60"/>
    </row>
    <row r="155" ht="12.75">
      <c r="D155" s="60"/>
    </row>
    <row r="156" ht="12.75">
      <c r="D156" s="60"/>
    </row>
    <row r="157" ht="12.75">
      <c r="D157" s="60"/>
    </row>
    <row r="158" ht="12.75">
      <c r="D158" s="60"/>
    </row>
    <row r="159" ht="12.75">
      <c r="D159" s="60"/>
    </row>
    <row r="160" ht="12.75">
      <c r="D160" s="60"/>
    </row>
    <row r="161" ht="12.75">
      <c r="D161" s="60"/>
    </row>
    <row r="162" ht="12.75">
      <c r="D162" s="60"/>
    </row>
    <row r="163" ht="12.75">
      <c r="D163" s="60"/>
    </row>
    <row r="164" ht="12.75">
      <c r="D164" s="60"/>
    </row>
    <row r="165" ht="12.75">
      <c r="D165" s="60"/>
    </row>
    <row r="166" ht="12.75">
      <c r="D166" s="60"/>
    </row>
    <row r="167" ht="12.75">
      <c r="D167" s="60"/>
    </row>
    <row r="168" ht="12.75">
      <c r="D168" s="60"/>
    </row>
    <row r="169" ht="12.75">
      <c r="D169" s="60"/>
    </row>
    <row r="170" ht="12.75"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79" ht="12.75">
      <c r="D179" s="60"/>
    </row>
    <row r="180" ht="12.75">
      <c r="D180" s="60"/>
    </row>
    <row r="181" ht="12.75">
      <c r="D181" s="60"/>
    </row>
    <row r="182" ht="12.75">
      <c r="D182" s="60"/>
    </row>
    <row r="183" ht="12.75">
      <c r="D183" s="60"/>
    </row>
    <row r="184" ht="12.75">
      <c r="D184" s="60"/>
    </row>
    <row r="185" ht="12.75">
      <c r="D185" s="60"/>
    </row>
    <row r="186" ht="12.75">
      <c r="D186" s="60"/>
    </row>
    <row r="187" ht="12.75">
      <c r="D187" s="60"/>
    </row>
    <row r="188" ht="12.75">
      <c r="D188" s="60"/>
    </row>
    <row r="189" ht="12.75">
      <c r="D189" s="60"/>
    </row>
    <row r="190" ht="12.75">
      <c r="D190" s="60"/>
    </row>
    <row r="191" ht="12.75">
      <c r="D191" s="60"/>
    </row>
    <row r="192" ht="12.75">
      <c r="D192" s="60"/>
    </row>
    <row r="193" ht="12.75">
      <c r="D193" s="60"/>
    </row>
    <row r="194" ht="12.75">
      <c r="D194" s="60"/>
    </row>
    <row r="195" ht="12.75">
      <c r="D195" s="60"/>
    </row>
    <row r="196" ht="12.75">
      <c r="D196" s="60"/>
    </row>
    <row r="197" ht="12.75">
      <c r="D197" s="60"/>
    </row>
    <row r="198" ht="12.75">
      <c r="D198" s="60"/>
    </row>
    <row r="199" ht="12.75">
      <c r="D199" s="60"/>
    </row>
    <row r="200" ht="12.75">
      <c r="D200" s="60"/>
    </row>
    <row r="201" ht="12.75">
      <c r="D201" s="60"/>
    </row>
    <row r="202" ht="12.75">
      <c r="D202" s="60"/>
    </row>
    <row r="203" ht="12.75">
      <c r="D203" s="60"/>
    </row>
    <row r="204" ht="12.75">
      <c r="D204" s="60"/>
    </row>
    <row r="205" ht="12.75">
      <c r="D205" s="60"/>
    </row>
    <row r="206" ht="12.75">
      <c r="D206" s="60"/>
    </row>
    <row r="207" ht="12.75">
      <c r="D207" s="60"/>
    </row>
    <row r="208" ht="12.75">
      <c r="D208" s="60"/>
    </row>
    <row r="209" ht="12.75">
      <c r="D209" s="60"/>
    </row>
    <row r="210" ht="12.75">
      <c r="D210" s="60"/>
    </row>
    <row r="211" ht="12.75">
      <c r="D211" s="60"/>
    </row>
    <row r="212" ht="12.75">
      <c r="D212" s="60"/>
    </row>
    <row r="213" ht="12.75">
      <c r="D213" s="60"/>
    </row>
    <row r="214" ht="12.75">
      <c r="D214" s="60"/>
    </row>
    <row r="215" ht="12.75">
      <c r="D215" s="60"/>
    </row>
    <row r="216" ht="12.75">
      <c r="D216" s="60"/>
    </row>
    <row r="217" ht="12.75">
      <c r="D217" s="60"/>
    </row>
    <row r="218" ht="12.75">
      <c r="D218" s="60"/>
    </row>
    <row r="219" ht="12.75">
      <c r="D219" s="60"/>
    </row>
    <row r="220" ht="12.75">
      <c r="D220" s="60"/>
    </row>
    <row r="221" ht="12.75">
      <c r="D221" s="60"/>
    </row>
    <row r="222" ht="12.75">
      <c r="D222" s="60"/>
    </row>
    <row r="223" ht="12.75">
      <c r="D223" s="60"/>
    </row>
    <row r="224" ht="12.75">
      <c r="D224" s="60"/>
    </row>
    <row r="225" ht="12.75">
      <c r="D225" s="60"/>
    </row>
    <row r="226" ht="12.75">
      <c r="D226" s="60"/>
    </row>
    <row r="227" ht="12.75">
      <c r="D227" s="60"/>
    </row>
    <row r="228" ht="12.75">
      <c r="D228" s="60"/>
    </row>
    <row r="229" ht="12.75">
      <c r="D229" s="60"/>
    </row>
    <row r="230" ht="12.75">
      <c r="D230" s="60"/>
    </row>
    <row r="231" ht="12.75">
      <c r="D231" s="60"/>
    </row>
    <row r="232" ht="12.75">
      <c r="D232" s="60"/>
    </row>
    <row r="233" ht="12.75">
      <c r="D233" s="60"/>
    </row>
    <row r="234" ht="12.75">
      <c r="D234" s="60"/>
    </row>
    <row r="235" ht="12.75">
      <c r="D235" s="60"/>
    </row>
    <row r="236" ht="12.75">
      <c r="D236" s="60"/>
    </row>
    <row r="237" ht="12.75">
      <c r="D237" s="60"/>
    </row>
    <row r="238" ht="12.75">
      <c r="D238" s="60"/>
    </row>
    <row r="239" ht="12.75">
      <c r="D239" s="60"/>
    </row>
    <row r="240" ht="12.75">
      <c r="D240" s="60"/>
    </row>
    <row r="241" ht="12.75">
      <c r="D241" s="60"/>
    </row>
    <row r="242" ht="12.75">
      <c r="D242" s="60"/>
    </row>
    <row r="243" ht="12.75">
      <c r="D243" s="60"/>
    </row>
    <row r="244" ht="12.75">
      <c r="D244" s="60"/>
    </row>
    <row r="245" ht="12.75">
      <c r="D245" s="60"/>
    </row>
    <row r="246" ht="12.75">
      <c r="D246" s="60"/>
    </row>
    <row r="247" ht="12.75">
      <c r="D247" s="60"/>
    </row>
    <row r="248" ht="12.75">
      <c r="D248" s="60"/>
    </row>
    <row r="249" ht="12.75">
      <c r="D249" s="60"/>
    </row>
    <row r="250" ht="12.75">
      <c r="D250" s="60"/>
    </row>
    <row r="251" ht="12.75">
      <c r="D251" s="60"/>
    </row>
    <row r="252" ht="12.75">
      <c r="D252" s="60"/>
    </row>
    <row r="253" ht="12.75">
      <c r="D253" s="60"/>
    </row>
    <row r="254" ht="12.75">
      <c r="D254" s="60"/>
    </row>
    <row r="255" ht="12.75">
      <c r="D255" s="60"/>
    </row>
    <row r="256" ht="12.75">
      <c r="D256" s="60"/>
    </row>
    <row r="257" ht="12.75">
      <c r="D257" s="60"/>
    </row>
    <row r="258" ht="12.75">
      <c r="D258" s="60"/>
    </row>
    <row r="259" ht="12.75">
      <c r="D259" s="60"/>
    </row>
    <row r="260" ht="12.75">
      <c r="D260" s="60"/>
    </row>
    <row r="261" ht="12.75">
      <c r="D261" s="60"/>
    </row>
    <row r="262" ht="12.75">
      <c r="D262" s="60"/>
    </row>
    <row r="263" ht="12.75">
      <c r="D263" s="60"/>
    </row>
    <row r="264" ht="12.75">
      <c r="D264" s="60"/>
    </row>
    <row r="265" ht="12.75">
      <c r="D265" s="60"/>
    </row>
    <row r="266" ht="12.75">
      <c r="D266" s="60"/>
    </row>
    <row r="267" ht="12.75">
      <c r="D267" s="60"/>
    </row>
    <row r="268" ht="12.75">
      <c r="D268" s="60"/>
    </row>
    <row r="269" ht="12.75">
      <c r="D269" s="60"/>
    </row>
    <row r="270" ht="12.75">
      <c r="D270" s="60"/>
    </row>
    <row r="271" ht="12.75">
      <c r="D271" s="60"/>
    </row>
    <row r="272" ht="12.75">
      <c r="D272" s="60"/>
    </row>
    <row r="273" ht="12.75">
      <c r="D273" s="60"/>
    </row>
    <row r="274" ht="12.75">
      <c r="D274" s="60"/>
    </row>
    <row r="275" ht="12.75">
      <c r="D275" s="60"/>
    </row>
    <row r="276" ht="12.75">
      <c r="D276" s="60"/>
    </row>
    <row r="277" ht="12.75">
      <c r="D277" s="60"/>
    </row>
    <row r="278" ht="12.75">
      <c r="D278" s="60"/>
    </row>
    <row r="279" ht="12.75">
      <c r="D279" s="60"/>
    </row>
    <row r="280" ht="12.75">
      <c r="D280" s="60"/>
    </row>
    <row r="281" ht="12.75">
      <c r="D281" s="60"/>
    </row>
    <row r="282" ht="12.75">
      <c r="D282" s="60"/>
    </row>
    <row r="283" ht="12.75">
      <c r="D283" s="60"/>
    </row>
    <row r="284" ht="12.75">
      <c r="D284" s="60"/>
    </row>
    <row r="285" ht="12.75">
      <c r="D285" s="60"/>
    </row>
    <row r="286" ht="12.75">
      <c r="D286" s="60"/>
    </row>
    <row r="287" ht="12.75">
      <c r="D287" s="60"/>
    </row>
    <row r="288" ht="12.75">
      <c r="D288" s="60"/>
    </row>
    <row r="289" ht="12.75">
      <c r="D289" s="60"/>
    </row>
    <row r="290" ht="12.75">
      <c r="D290" s="60"/>
    </row>
    <row r="291" ht="12.75">
      <c r="D291" s="60"/>
    </row>
    <row r="292" ht="12.75">
      <c r="D292" s="60"/>
    </row>
    <row r="293" ht="12.75">
      <c r="D293" s="60"/>
    </row>
    <row r="294" ht="12.75">
      <c r="D294" s="60"/>
    </row>
    <row r="295" ht="12.75">
      <c r="D295" s="60"/>
    </row>
    <row r="296" ht="12.75">
      <c r="D296" s="60"/>
    </row>
    <row r="297" ht="12.75">
      <c r="D297" s="60"/>
    </row>
    <row r="298" ht="12.75">
      <c r="D298" s="60"/>
    </row>
    <row r="299" ht="12.75">
      <c r="D299" s="60"/>
    </row>
    <row r="300" ht="12.75">
      <c r="D300" s="60"/>
    </row>
    <row r="301" ht="12.75">
      <c r="D301" s="60"/>
    </row>
    <row r="302" ht="12.75">
      <c r="D302" s="60"/>
    </row>
    <row r="303" ht="12.75">
      <c r="D303" s="60"/>
    </row>
    <row r="304" ht="12.75">
      <c r="D304" s="60"/>
    </row>
    <row r="305" ht="12.75">
      <c r="D305" s="60"/>
    </row>
    <row r="306" ht="12.75">
      <c r="D306" s="60"/>
    </row>
    <row r="307" ht="12.75">
      <c r="D307" s="60"/>
    </row>
    <row r="308" ht="12.75">
      <c r="D308" s="60"/>
    </row>
    <row r="309" ht="12.75">
      <c r="D309" s="60"/>
    </row>
    <row r="310" ht="12.75">
      <c r="D310" s="60"/>
    </row>
    <row r="311" ht="12.75">
      <c r="D311" s="60"/>
    </row>
    <row r="312" ht="12.75">
      <c r="D312" s="60"/>
    </row>
    <row r="313" ht="12.75">
      <c r="D313" s="60"/>
    </row>
    <row r="314" ht="12.75">
      <c r="D314" s="60"/>
    </row>
    <row r="315" ht="12.75">
      <c r="D315" s="60"/>
    </row>
    <row r="316" ht="12.75">
      <c r="D316" s="60"/>
    </row>
    <row r="317" ht="12.75">
      <c r="D317" s="60"/>
    </row>
    <row r="318" ht="12.75">
      <c r="D318" s="60"/>
    </row>
    <row r="319" ht="12.75">
      <c r="D319" s="60"/>
    </row>
    <row r="320" ht="12.75">
      <c r="D320" s="60"/>
    </row>
    <row r="321" ht="12.75">
      <c r="D321" s="60"/>
    </row>
    <row r="322" ht="12.75">
      <c r="D322" s="60"/>
    </row>
  </sheetData>
  <mergeCells count="3">
    <mergeCell ref="A34:B34"/>
    <mergeCell ref="A35:B35"/>
    <mergeCell ref="A26:L26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</dc:creator>
  <cp:keywords/>
  <dc:description/>
  <cp:lastModifiedBy>akfuser</cp:lastModifiedBy>
  <cp:lastPrinted>2002-03-05T07:28:36Z</cp:lastPrinted>
  <dcterms:created xsi:type="dcterms:W3CDTF">2001-12-14T16:59:34Z</dcterms:created>
  <dcterms:modified xsi:type="dcterms:W3CDTF">2004-11-05T11:47:37Z</dcterms:modified>
  <cp:category/>
  <cp:version/>
  <cp:contentType/>
  <cp:contentStatus/>
</cp:coreProperties>
</file>