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1016" activeTab="4"/>
  </bookViews>
  <sheets>
    <sheet name="Движение запасов" sheetId="1" r:id="rId1"/>
    <sheet name="БДР" sheetId="2" r:id="rId2"/>
    <sheet name="ДДС" sheetId="3" r:id="rId3"/>
    <sheet name="Баланс" sheetId="4" r:id="rId4"/>
    <sheet name="Опер цикл" sheetId="5" r:id="rId5"/>
    <sheet name="опер цикл граф" sheetId="6" r:id="rId6"/>
  </sheets>
  <definedNames>
    <definedName name="_xlnm.Print_Area" localSheetId="5">'опер цикл граф'!$B$2:$F$15</definedName>
  </definedNames>
  <calcPr fullCalcOnLoad="1"/>
</workbook>
</file>

<file path=xl/sharedStrings.xml><?xml version="1.0" encoding="utf-8"?>
<sst xmlns="http://schemas.openxmlformats.org/spreadsheetml/2006/main" count="198" uniqueCount="142">
  <si>
    <t>Операционный цикл</t>
  </si>
  <si>
    <t>Данные для расчета оборачиваемости</t>
  </si>
  <si>
    <t>Запасы сырья и материалов</t>
  </si>
  <si>
    <t>Запасы сырья и материалов, нетто</t>
  </si>
  <si>
    <t>Незавершенное производство</t>
  </si>
  <si>
    <t>Запасы готовой продукции</t>
  </si>
  <si>
    <t>Запасы готовой продукции, нетто</t>
  </si>
  <si>
    <t>Авансы полученные - внешние</t>
  </si>
  <si>
    <t>декабрь</t>
  </si>
  <si>
    <t>январь</t>
  </si>
  <si>
    <t>февраль</t>
  </si>
  <si>
    <t>март</t>
  </si>
  <si>
    <t>Количество дней в периоде</t>
  </si>
  <si>
    <t>Оборачиваемость, в днях</t>
  </si>
  <si>
    <t>Дебиторская задолженность</t>
  </si>
  <si>
    <t>Авнсы выданные (за исключением авансов по основным средствам) - внешние</t>
  </si>
  <si>
    <t>Авансы полученные</t>
  </si>
  <si>
    <t>Коммерческая кредиторская задолженность</t>
  </si>
  <si>
    <t xml:space="preserve">Авансы выданные (за исключением авансов по основным средствам) </t>
  </si>
  <si>
    <t>БДР</t>
  </si>
  <si>
    <t>ОС</t>
  </si>
  <si>
    <t>Всего внеоборотные активы</t>
  </si>
  <si>
    <t>Запасы сырья</t>
  </si>
  <si>
    <t>Готовая продукция</t>
  </si>
  <si>
    <t>Денежные средства</t>
  </si>
  <si>
    <t>Всего оборотные активы</t>
  </si>
  <si>
    <t>Всего активы</t>
  </si>
  <si>
    <t>Капитал и резервы</t>
  </si>
  <si>
    <t>Уставный капитал</t>
  </si>
  <si>
    <t>Добавочный капитал</t>
  </si>
  <si>
    <t>Нераспределенная прибыль</t>
  </si>
  <si>
    <t>Всего капитал и резервы</t>
  </si>
  <si>
    <t>Долгосрочные обязательства</t>
  </si>
  <si>
    <t>Краткосрочные обязательства</t>
  </si>
  <si>
    <t>Задолженность по заработной плате</t>
  </si>
  <si>
    <t>задолженность по налоговым платежам</t>
  </si>
  <si>
    <t>Задолженность поставщикам</t>
  </si>
  <si>
    <t>Всего краткосрочные обязательства</t>
  </si>
  <si>
    <t>Всего пассивы</t>
  </si>
  <si>
    <t>Выручка от реализации</t>
  </si>
  <si>
    <t xml:space="preserve">Сырье и материалы  </t>
  </si>
  <si>
    <t>Себестоимость всего, в том числе</t>
  </si>
  <si>
    <t>заработная плата</t>
  </si>
  <si>
    <t>ЕСН</t>
  </si>
  <si>
    <t>Январь</t>
  </si>
  <si>
    <t>Февраль</t>
  </si>
  <si>
    <t>Март</t>
  </si>
  <si>
    <t>Апрель</t>
  </si>
  <si>
    <t>Амортизация</t>
  </si>
  <si>
    <t>Прочее</t>
  </si>
  <si>
    <t>Налог на прибыль</t>
  </si>
  <si>
    <t>Прибыль до налогообложения</t>
  </si>
  <si>
    <t>Чистая прибыль</t>
  </si>
  <si>
    <t>Отчет о прибылях и убытках</t>
  </si>
  <si>
    <t>Финансовый цикл</t>
  </si>
  <si>
    <t>Среднедневной расход средств</t>
  </si>
  <si>
    <t>расчет СОК</t>
  </si>
  <si>
    <t>Коэффициент текущей ликвидности</t>
  </si>
  <si>
    <t>Доходные вложения</t>
  </si>
  <si>
    <t>Денежных средств</t>
  </si>
  <si>
    <t>Собственный оборотный капитал всего, в том числе</t>
  </si>
  <si>
    <t>прибыль</t>
  </si>
  <si>
    <t>амортизация</t>
  </si>
  <si>
    <t>уменьшение собственного оборотного капитала (выплата дивидендов, приобретение ОС)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</si>
  <si>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</si>
  <si>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</si>
  <si>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</si>
  <si>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</si>
  <si>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</si>
  <si>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</si>
  <si>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</si>
  <si>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</si>
  <si>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</si>
  <si>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</si>
  <si>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</si>
  <si>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</si>
  <si>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</si>
  <si>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</si>
  <si>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</si>
  <si>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</si>
  <si>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Показатели</t>
  </si>
  <si>
    <t>Остаток сырья на складе на начало</t>
  </si>
  <si>
    <t>Приход сырья от поставщиков</t>
  </si>
  <si>
    <t>Передано в производство</t>
  </si>
  <si>
    <t>Остаток сырья на складе на конец</t>
  </si>
  <si>
    <t>Нормативный остаток сырья на складе на конец, мес</t>
  </si>
  <si>
    <t>Укрупненная финансовая модель ОАО "ТВС" на 2010 год</t>
  </si>
  <si>
    <t>млн. руб.</t>
  </si>
  <si>
    <t>1. Cash flow, связанный с производственной деятельностью</t>
  </si>
  <si>
    <t>Источники образования cash flow</t>
  </si>
  <si>
    <t>Амортизационные отчисления</t>
  </si>
  <si>
    <t>Увеличение краткосрочных кредитов (поставщики), включая авансы выданные</t>
  </si>
  <si>
    <t>Расход cash flow</t>
  </si>
  <si>
    <t>Увеличение дебиторской задолженности покупателей (заказчиков)</t>
  </si>
  <si>
    <t>Изменение дебиторской задолженности покупателей по полученным авансам</t>
  </si>
  <si>
    <t>Увеличение запасов</t>
  </si>
  <si>
    <t>сырья</t>
  </si>
  <si>
    <t>готовой продукции</t>
  </si>
  <si>
    <t>Чистый cash flow, связанный с производственной деятельностью</t>
  </si>
  <si>
    <t>2. Cash flow, связанный с долгосрочными инвестициями</t>
  </si>
  <si>
    <t>Приход по инвестиционной деятельности</t>
  </si>
  <si>
    <t>Расход расход по инвестиционной деятельности</t>
  </si>
  <si>
    <t>Изменение незавершенного строительства</t>
  </si>
  <si>
    <t>Чистый cash flow, связанный с инвестиционной деятельностью</t>
  </si>
  <si>
    <t>3. Cash flow, связанный с финансовыми операциями</t>
  </si>
  <si>
    <t>Источники образования cash flow, всего</t>
  </si>
  <si>
    <t>Увеличение краткосрочных кредитов</t>
  </si>
  <si>
    <t>Увеличение долговых обязательств</t>
  </si>
  <si>
    <t>Расход cash flow, всего</t>
  </si>
  <si>
    <t>Погашение краткосрочных кредитов и займов</t>
  </si>
  <si>
    <t>Погашение долгосрочных кредитов и займов</t>
  </si>
  <si>
    <t>Чистый cash flow, связанный с финансовыми операциями</t>
  </si>
  <si>
    <t>Изменение наличности и рыночных ценных бумаг</t>
  </si>
  <si>
    <t>Остаток средств на начало месяца, млн. руб.</t>
  </si>
  <si>
    <t>Остаток средств на конец месяца, млн. руб.</t>
  </si>
  <si>
    <t>НЗП</t>
  </si>
  <si>
    <t>Кредиторская задолженность на конец месяца</t>
  </si>
  <si>
    <t>Постоянные пассивы</t>
  </si>
  <si>
    <t>Баланс</t>
  </si>
  <si>
    <t>Краткосрочные пассивы</t>
  </si>
  <si>
    <t>Потребность в финансировании рабочего капитала</t>
  </si>
  <si>
    <t>Бюджет движения запасов</t>
  </si>
  <si>
    <t>Баланс компании</t>
  </si>
  <si>
    <t>Источник</t>
  </si>
  <si>
    <t>Операционный и финансовый цикл</t>
  </si>
  <si>
    <t>Хранение готовой проукции на складе</t>
  </si>
  <si>
    <t>Длительность операционного цикла</t>
  </si>
  <si>
    <t>Дни кредиторов</t>
  </si>
  <si>
    <t>Производственный процесс</t>
  </si>
  <si>
    <t>Отгрузка покупателю и инкасирование дебиторской задолженности</t>
  </si>
  <si>
    <t>Всего, суток</t>
  </si>
  <si>
    <t>Приемка, сортировка, хранение сырья</t>
  </si>
  <si>
    <t>Нормативное значение коээфициента текущей ликвидности</t>
  </si>
  <si>
    <t>Выручка от реализации, без НДС</t>
  </si>
  <si>
    <t>Сырье и материалы  на реализованную продукцию</t>
  </si>
  <si>
    <t>Себестоимость реализованной продукции</t>
  </si>
  <si>
    <t>Расчетная потребность в краткосрочных кредитах</t>
  </si>
  <si>
    <t>Общая потребность в оборотном капитале</t>
  </si>
  <si>
    <t>Проценты по кредитам</t>
  </si>
  <si>
    <t>Расчет нормативов коэффициента текущей ликвидности</t>
  </si>
  <si>
    <t>Таблица 2.</t>
  </si>
  <si>
    <t>Рис. 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</si>
</sst>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mmm\ yyyy"/>
    <numFmt numFmtId="167" formatCode="mmm\ yy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</numFmts>
  <fonts count="56">
    <font>
      <sz val="10"/>
      <name val="Arial Cyr"/>
      <family val="0"/>
    </font>
    <font>
      <b/>
      <sz val="16"/>
      <color indexed="8"/>
      <name val="Arial CYR"/>
      <family val="2"/>
    </font>
    <font>
      <b/>
      <sz val="16"/>
      <color indexed="10"/>
      <name val="Arial Cyr"/>
      <family val="2"/>
    </font>
    <font>
      <sz val="16"/>
      <color indexed="8"/>
      <name val="Arial Narrow"/>
      <family val="2"/>
    </font>
    <font>
      <u val="single"/>
      <sz val="10"/>
      <color indexed="12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6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color indexed="12"/>
      <name val="Arial Narrow"/>
      <family val="2"/>
    </font>
    <font>
      <b/>
      <sz val="12"/>
      <name val="Arial Narrow"/>
      <family val="2"/>
    </font>
    <font>
      <b/>
      <sz val="1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Narrow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4" fontId="5" fillId="33" borderId="10" xfId="53" applyNumberFormat="1" applyFont="1" applyFill="1" applyBorder="1" applyAlignment="1">
      <alignment horizontal="center" vertical="center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4" fontId="5" fillId="33" borderId="10" xfId="53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6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54" applyFont="1" applyFill="1" applyBorder="1" applyAlignment="1">
      <alignment horizontal="left" vertical="center" wrapText="1"/>
      <protection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Border="1" applyAlignment="1">
      <alignment wrapText="1"/>
    </xf>
    <xf numFmtId="3" fontId="8" fillId="0" borderId="0" xfId="0" applyNumberFormat="1" applyFont="1" applyAlignment="1">
      <alignment/>
    </xf>
    <xf numFmtId="0" fontId="10" fillId="35" borderId="0" xfId="55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wrapText="1"/>
    </xf>
    <xf numFmtId="3" fontId="11" fillId="35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0" borderId="14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 indent="2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 indent="4"/>
    </xf>
    <xf numFmtId="3" fontId="13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0" borderId="16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right" vertical="center"/>
    </xf>
    <xf numFmtId="0" fontId="13" fillId="36" borderId="18" xfId="0" applyFont="1" applyFill="1" applyBorder="1" applyAlignment="1">
      <alignment vertical="center" wrapText="1"/>
    </xf>
    <xf numFmtId="1" fontId="13" fillId="36" borderId="19" xfId="0" applyNumberFormat="1" applyFont="1" applyFill="1" applyBorder="1" applyAlignment="1">
      <alignment horizontal="right" vertical="center" wrapText="1"/>
    </xf>
    <xf numFmtId="0" fontId="13" fillId="36" borderId="20" xfId="0" applyFont="1" applyFill="1" applyBorder="1" applyAlignment="1">
      <alignment vertical="center" wrapText="1"/>
    </xf>
    <xf numFmtId="3" fontId="13" fillId="36" borderId="2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64" fontId="11" fillId="0" borderId="0" xfId="62" applyNumberFormat="1" applyFont="1" applyAlignment="1">
      <alignment vertical="center"/>
    </xf>
    <xf numFmtId="3" fontId="5" fillId="34" borderId="10" xfId="0" applyNumberFormat="1" applyFont="1" applyFill="1" applyBorder="1" applyAlignment="1" applyProtection="1">
      <alignment/>
      <protection hidden="1"/>
    </xf>
    <xf numFmtId="3" fontId="6" fillId="34" borderId="10" xfId="0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34" borderId="0" xfId="0" applyFont="1" applyFill="1" applyAlignment="1">
      <alignment/>
    </xf>
    <xf numFmtId="0" fontId="7" fillId="34" borderId="0" xfId="0" applyFont="1" applyFill="1" applyAlignment="1">
      <alignment horizontal="center" wrapText="1"/>
    </xf>
    <xf numFmtId="1" fontId="7" fillId="34" borderId="0" xfId="0" applyNumberFormat="1" applyFont="1" applyFill="1" applyAlignment="1">
      <alignment horizontal="center"/>
    </xf>
    <xf numFmtId="3" fontId="7" fillId="34" borderId="0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 vertical="center" wrapText="1"/>
    </xf>
    <xf numFmtId="1" fontId="1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1" fontId="8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0" fontId="19" fillId="34" borderId="22" xfId="0" applyFont="1" applyFill="1" applyBorder="1" applyAlignment="1">
      <alignment horizontal="left" vertical="center" wrapText="1"/>
    </xf>
    <xf numFmtId="0" fontId="19" fillId="34" borderId="23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76" fontId="18" fillId="34" borderId="0" xfId="0" applyNumberFormat="1" applyFont="1" applyFill="1" applyAlignment="1">
      <alignment horizontal="right" vertical="center"/>
    </xf>
    <xf numFmtId="14" fontId="20" fillId="33" borderId="10" xfId="53" applyNumberFormat="1" applyFont="1" applyFill="1" applyBorder="1" applyAlignment="1">
      <alignment horizontal="center" vertical="center" wrapText="1"/>
      <protection/>
    </xf>
    <xf numFmtId="3" fontId="20" fillId="33" borderId="10" xfId="53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177" fontId="6" fillId="0" borderId="10" xfId="62" applyNumberFormat="1" applyFont="1" applyFill="1" applyBorder="1" applyAlignment="1">
      <alignment horizontal="center" wrapText="1"/>
    </xf>
    <xf numFmtId="177" fontId="5" fillId="0" borderId="10" xfId="62" applyNumberFormat="1" applyFont="1" applyFill="1" applyBorder="1" applyAlignment="1">
      <alignment horizontal="center" wrapText="1"/>
    </xf>
    <xf numFmtId="177" fontId="6" fillId="0" borderId="10" xfId="62" applyNumberFormat="1" applyFont="1" applyFill="1" applyBorder="1" applyAlignment="1">
      <alignment horizontal="center" wrapText="1"/>
    </xf>
    <xf numFmtId="177" fontId="5" fillId="0" borderId="10" xfId="62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 horizontal="right"/>
    </xf>
    <xf numFmtId="0" fontId="21" fillId="34" borderId="0" xfId="0" applyFont="1" applyFill="1" applyAlignment="1">
      <alignment horizontal="right"/>
    </xf>
    <xf numFmtId="0" fontId="19" fillId="34" borderId="22" xfId="0" applyFont="1" applyFill="1" applyBorder="1" applyAlignment="1">
      <alignment horizontal="left" vertical="center" wrapText="1"/>
    </xf>
    <xf numFmtId="0" fontId="19" fillId="34" borderId="25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 indent="2"/>
    </xf>
    <xf numFmtId="0" fontId="6" fillId="34" borderId="23" xfId="0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/>
    </xf>
    <xf numFmtId="0" fontId="0" fillId="34" borderId="0" xfId="0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alance Sheet" xfId="53"/>
    <cellStyle name="Обычный_Working capital project" xfId="54"/>
    <cellStyle name="Обычный_Бюджет ЗАО сентябрь 2007 г (C330503B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47625</xdr:rowOff>
    </xdr:from>
    <xdr:to>
      <xdr:col>5</xdr:col>
      <xdr:colOff>0</xdr:colOff>
      <xdr:row>7</xdr:row>
      <xdr:rowOff>200025</xdr:rowOff>
    </xdr:to>
    <xdr:sp>
      <xdr:nvSpPr>
        <xdr:cNvPr id="1" name="AutoShape 5"/>
        <xdr:cNvSpPr>
          <a:spLocks/>
        </xdr:cNvSpPr>
      </xdr:nvSpPr>
      <xdr:spPr>
        <a:xfrm rot="5400000">
          <a:off x="895350" y="2590800"/>
          <a:ext cx="4857750" cy="314325"/>
        </a:xfrm>
        <a:prstGeom prst="rightBrace">
          <a:avLst>
            <a:gd name="adj1" fmla="val -38060"/>
            <a:gd name="adj2" fmla="val 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1143000</xdr:colOff>
      <xdr:row>7</xdr:row>
      <xdr:rowOff>247650</xdr:rowOff>
    </xdr:from>
    <xdr:to>
      <xdr:col>3</xdr:col>
      <xdr:colOff>447675</xdr:colOff>
      <xdr:row>8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028825" y="2952750"/>
          <a:ext cx="2724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Производственный цикл</a:t>
          </a:r>
        </a:p>
      </xdr:txBody>
    </xdr:sp>
    <xdr:clientData/>
  </xdr:twoCellAnchor>
  <xdr:twoCellAnchor>
    <xdr:from>
      <xdr:col>5</xdr:col>
      <xdr:colOff>19050</xdr:colOff>
      <xdr:row>6</xdr:row>
      <xdr:rowOff>57150</xdr:rowOff>
    </xdr:from>
    <xdr:to>
      <xdr:col>6</xdr:col>
      <xdr:colOff>0</xdr:colOff>
      <xdr:row>7</xdr:row>
      <xdr:rowOff>209550</xdr:rowOff>
    </xdr:to>
    <xdr:sp>
      <xdr:nvSpPr>
        <xdr:cNvPr id="3" name="AutoShape 5"/>
        <xdr:cNvSpPr>
          <a:spLocks/>
        </xdr:cNvSpPr>
      </xdr:nvSpPr>
      <xdr:spPr>
        <a:xfrm rot="5400000">
          <a:off x="5772150" y="2600325"/>
          <a:ext cx="3448050" cy="314325"/>
        </a:xfrm>
        <a:prstGeom prst="rightBrace">
          <a:avLst>
            <a:gd name="adj1" fmla="val -33865"/>
            <a:gd name="adj2" fmla="val 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7</xdr:row>
      <xdr:rowOff>257175</xdr:rowOff>
    </xdr:from>
    <xdr:to>
      <xdr:col>5</xdr:col>
      <xdr:colOff>3429000</xdr:colOff>
      <xdr:row>8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010275" y="2962275"/>
          <a:ext cx="3181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Коммерческий цикл "Дни дебиторов"</a:t>
          </a:r>
        </a:p>
      </xdr:txBody>
    </xdr:sp>
    <xdr:clientData/>
  </xdr:twoCellAnchor>
  <xdr:twoCellAnchor>
    <xdr:from>
      <xdr:col>1</xdr:col>
      <xdr:colOff>657225</xdr:colOff>
      <xdr:row>7</xdr:row>
      <xdr:rowOff>466725</xdr:rowOff>
    </xdr:from>
    <xdr:to>
      <xdr:col>4</xdr:col>
      <xdr:colOff>619125</xdr:colOff>
      <xdr:row>9</xdr:row>
      <xdr:rowOff>104775</xdr:rowOff>
    </xdr:to>
    <xdr:sp>
      <xdr:nvSpPr>
        <xdr:cNvPr id="5" name="AutoShape 5"/>
        <xdr:cNvSpPr>
          <a:spLocks/>
        </xdr:cNvSpPr>
      </xdr:nvSpPr>
      <xdr:spPr>
        <a:xfrm rot="5400000">
          <a:off x="857250" y="3171825"/>
          <a:ext cx="4705350" cy="314325"/>
        </a:xfrm>
        <a:prstGeom prst="rightBrace">
          <a:avLst>
            <a:gd name="adj1" fmla="val -38166"/>
            <a:gd name="adj2" fmla="val 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142875</xdr:rowOff>
    </xdr:from>
    <xdr:to>
      <xdr:col>4</xdr:col>
      <xdr:colOff>257175</xdr:colOff>
      <xdr:row>11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85850" y="3524250"/>
          <a:ext cx="4114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Дни кредиторов</a:t>
          </a:r>
        </a:p>
      </xdr:txBody>
    </xdr:sp>
    <xdr:clientData/>
  </xdr:twoCellAnchor>
  <xdr:twoCellAnchor>
    <xdr:from>
      <xdr:col>4</xdr:col>
      <xdr:colOff>619125</xdr:colOff>
      <xdr:row>7</xdr:row>
      <xdr:rowOff>466725</xdr:rowOff>
    </xdr:from>
    <xdr:to>
      <xdr:col>5</xdr:col>
      <xdr:colOff>3448050</xdr:colOff>
      <xdr:row>9</xdr:row>
      <xdr:rowOff>104775</xdr:rowOff>
    </xdr:to>
    <xdr:sp>
      <xdr:nvSpPr>
        <xdr:cNvPr id="7" name="AutoShape 5"/>
        <xdr:cNvSpPr>
          <a:spLocks/>
        </xdr:cNvSpPr>
      </xdr:nvSpPr>
      <xdr:spPr>
        <a:xfrm rot="5400000">
          <a:off x="5562600" y="3171825"/>
          <a:ext cx="3638550" cy="314325"/>
        </a:xfrm>
        <a:prstGeom prst="rightBrace">
          <a:avLst>
            <a:gd name="adj1" fmla="val -34763"/>
            <a:gd name="adj2" fmla="val 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142875</xdr:rowOff>
    </xdr:from>
    <xdr:to>
      <xdr:col>5</xdr:col>
      <xdr:colOff>3209925</xdr:colOff>
      <xdr:row>11</xdr:row>
      <xdr:rowOff>114300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791200" y="3524250"/>
          <a:ext cx="3181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Финансовый цикл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34.50390625" style="0" customWidth="1"/>
  </cols>
  <sheetData>
    <row r="1" ht="12.75">
      <c r="A1" t="s">
        <v>121</v>
      </c>
    </row>
    <row r="2" spans="1:13" ht="13.5">
      <c r="A2" s="4" t="s">
        <v>80</v>
      </c>
      <c r="B2" s="4" t="s">
        <v>44</v>
      </c>
      <c r="C2" s="4" t="s">
        <v>45</v>
      </c>
      <c r="D2" s="4" t="s">
        <v>46</v>
      </c>
      <c r="E2" s="4" t="s">
        <v>47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4" t="s">
        <v>69</v>
      </c>
      <c r="L2" s="4" t="s">
        <v>70</v>
      </c>
      <c r="M2" s="4" t="s">
        <v>71</v>
      </c>
    </row>
    <row r="3" spans="1:13" ht="12.75">
      <c r="A3" s="26" t="s">
        <v>81</v>
      </c>
      <c r="B3" s="30">
        <v>180</v>
      </c>
      <c r="C3" s="30">
        <f>B6</f>
        <v>180</v>
      </c>
      <c r="D3" s="30">
        <f aca="true" t="shared" si="0" ref="D3:M3">C6</f>
        <v>180</v>
      </c>
      <c r="E3" s="30">
        <f t="shared" si="0"/>
        <v>180</v>
      </c>
      <c r="F3" s="30">
        <f t="shared" si="0"/>
        <v>180</v>
      </c>
      <c r="G3" s="30">
        <f t="shared" si="0"/>
        <v>180</v>
      </c>
      <c r="H3" s="30">
        <f t="shared" si="0"/>
        <v>180</v>
      </c>
      <c r="I3" s="30">
        <f t="shared" si="0"/>
        <v>180</v>
      </c>
      <c r="J3" s="30">
        <f t="shared" si="0"/>
        <v>360</v>
      </c>
      <c r="K3" s="30">
        <f t="shared" si="0"/>
        <v>360</v>
      </c>
      <c r="L3" s="30">
        <f t="shared" si="0"/>
        <v>180</v>
      </c>
      <c r="M3" s="30">
        <f t="shared" si="0"/>
        <v>180</v>
      </c>
    </row>
    <row r="4" spans="1:13" ht="12.75">
      <c r="A4" s="26" t="s">
        <v>82</v>
      </c>
      <c r="B4" s="30">
        <f>B5+B6-B3</f>
        <v>180</v>
      </c>
      <c r="C4" s="30">
        <f aca="true" t="shared" si="1" ref="C4:M4">C5+C6-C3</f>
        <v>180</v>
      </c>
      <c r="D4" s="30">
        <f t="shared" si="1"/>
        <v>180</v>
      </c>
      <c r="E4" s="30">
        <f t="shared" si="1"/>
        <v>180</v>
      </c>
      <c r="F4" s="30">
        <f t="shared" si="1"/>
        <v>180</v>
      </c>
      <c r="G4" s="30">
        <f t="shared" si="1"/>
        <v>180</v>
      </c>
      <c r="H4" s="30">
        <f t="shared" si="1"/>
        <v>180</v>
      </c>
      <c r="I4" s="30">
        <f t="shared" si="1"/>
        <v>360</v>
      </c>
      <c r="J4" s="30">
        <f t="shared" si="1"/>
        <v>180</v>
      </c>
      <c r="K4" s="30">
        <f t="shared" si="1"/>
        <v>0</v>
      </c>
      <c r="L4" s="30">
        <f t="shared" si="1"/>
        <v>180</v>
      </c>
      <c r="M4" s="30">
        <f t="shared" si="1"/>
        <v>180</v>
      </c>
    </row>
    <row r="5" spans="1:13" ht="12.75">
      <c r="A5" s="27" t="s">
        <v>83</v>
      </c>
      <c r="B5" s="31">
        <v>180</v>
      </c>
      <c r="C5" s="31">
        <v>180</v>
      </c>
      <c r="D5" s="31">
        <v>180</v>
      </c>
      <c r="E5" s="31">
        <v>180</v>
      </c>
      <c r="F5" s="31">
        <v>180</v>
      </c>
      <c r="G5" s="31">
        <v>180</v>
      </c>
      <c r="H5" s="31">
        <v>180</v>
      </c>
      <c r="I5" s="31">
        <v>180</v>
      </c>
      <c r="J5" s="31">
        <v>180</v>
      </c>
      <c r="K5" s="31">
        <v>180</v>
      </c>
      <c r="L5" s="31">
        <v>180</v>
      </c>
      <c r="M5" s="31">
        <v>180</v>
      </c>
    </row>
    <row r="6" spans="1:13" ht="12.75">
      <c r="A6" s="26" t="s">
        <v>84</v>
      </c>
      <c r="B6" s="30">
        <f>B5*B7</f>
        <v>180</v>
      </c>
      <c r="C6" s="30">
        <f aca="true" t="shared" si="2" ref="C6:M6">C5*C7</f>
        <v>180</v>
      </c>
      <c r="D6" s="30">
        <f t="shared" si="2"/>
        <v>180</v>
      </c>
      <c r="E6" s="30">
        <f t="shared" si="2"/>
        <v>180</v>
      </c>
      <c r="F6" s="30">
        <f t="shared" si="2"/>
        <v>180</v>
      </c>
      <c r="G6" s="30">
        <f t="shared" si="2"/>
        <v>180</v>
      </c>
      <c r="H6" s="30">
        <f t="shared" si="2"/>
        <v>180</v>
      </c>
      <c r="I6" s="30">
        <f t="shared" si="2"/>
        <v>360</v>
      </c>
      <c r="J6" s="30">
        <f t="shared" si="2"/>
        <v>360</v>
      </c>
      <c r="K6" s="30">
        <f t="shared" si="2"/>
        <v>180</v>
      </c>
      <c r="L6" s="30">
        <f t="shared" si="2"/>
        <v>180</v>
      </c>
      <c r="M6" s="30">
        <f t="shared" si="2"/>
        <v>180</v>
      </c>
    </row>
    <row r="7" spans="1:13" ht="26.25">
      <c r="A7" s="38" t="s">
        <v>85</v>
      </c>
      <c r="B7" s="30">
        <v>1</v>
      </c>
      <c r="C7" s="30">
        <v>1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2</v>
      </c>
      <c r="J7" s="30">
        <v>2</v>
      </c>
      <c r="K7" s="30">
        <v>1</v>
      </c>
      <c r="L7" s="30">
        <v>1</v>
      </c>
      <c r="M7" s="30">
        <v>1</v>
      </c>
    </row>
    <row r="8" spans="1:13" ht="26.25">
      <c r="A8" s="38" t="s">
        <v>116</v>
      </c>
      <c r="B8" s="30">
        <f>ROUND(B4*1.18,0)</f>
        <v>212</v>
      </c>
      <c r="C8" s="30">
        <f aca="true" t="shared" si="3" ref="C8:M8">ROUND(C4*1.18,0)</f>
        <v>212</v>
      </c>
      <c r="D8" s="30">
        <f t="shared" si="3"/>
        <v>212</v>
      </c>
      <c r="E8" s="30">
        <f>ROUND(E4*1.18,0)+ROUND(D4*1.18,0)</f>
        <v>424</v>
      </c>
      <c r="F8" s="30">
        <f>ROUND(F4*1.18,0)+ROUND(E4*1.18,0)</f>
        <v>424</v>
      </c>
      <c r="G8" s="30">
        <f t="shared" si="3"/>
        <v>212</v>
      </c>
      <c r="H8" s="30">
        <f t="shared" si="3"/>
        <v>212</v>
      </c>
      <c r="I8" s="30">
        <f t="shared" si="3"/>
        <v>425</v>
      </c>
      <c r="J8" s="30">
        <f t="shared" si="3"/>
        <v>212</v>
      </c>
      <c r="K8" s="30">
        <f t="shared" si="3"/>
        <v>0</v>
      </c>
      <c r="L8" s="30">
        <f t="shared" si="3"/>
        <v>212</v>
      </c>
      <c r="M8" s="30">
        <f t="shared" si="3"/>
        <v>212</v>
      </c>
    </row>
    <row r="11" spans="2:13" ht="12.7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5" sqref="B5:M5"/>
    </sheetView>
  </sheetViews>
  <sheetFormatPr defaultColWidth="8.875" defaultRowHeight="12.75"/>
  <cols>
    <col min="1" max="1" width="29.625" style="0" customWidth="1"/>
  </cols>
  <sheetData>
    <row r="1" ht="12.75">
      <c r="A1" s="25" t="s">
        <v>53</v>
      </c>
    </row>
    <row r="2" spans="1:13" ht="12.75">
      <c r="A2" s="26"/>
      <c r="B2" s="27" t="s">
        <v>44</v>
      </c>
      <c r="C2" s="27" t="s">
        <v>45</v>
      </c>
      <c r="D2" s="27" t="s">
        <v>46</v>
      </c>
      <c r="E2" s="27" t="s">
        <v>47</v>
      </c>
      <c r="F2" s="27" t="s">
        <v>64</v>
      </c>
      <c r="G2" s="27" t="s">
        <v>65</v>
      </c>
      <c r="H2" s="27" t="s">
        <v>66</v>
      </c>
      <c r="I2" s="27" t="s">
        <v>67</v>
      </c>
      <c r="J2" s="27" t="s">
        <v>68</v>
      </c>
      <c r="K2" s="27" t="s">
        <v>69</v>
      </c>
      <c r="L2" s="27" t="s">
        <v>70</v>
      </c>
      <c r="M2" s="27" t="s">
        <v>71</v>
      </c>
    </row>
    <row r="3" spans="1:13" ht="13.5">
      <c r="A3" s="19" t="s">
        <v>39</v>
      </c>
      <c r="B3" s="30">
        <v>220</v>
      </c>
      <c r="C3" s="30">
        <v>220</v>
      </c>
      <c r="D3" s="30">
        <v>220</v>
      </c>
      <c r="E3" s="30">
        <v>220</v>
      </c>
      <c r="F3" s="30">
        <v>220</v>
      </c>
      <c r="G3" s="30">
        <v>220</v>
      </c>
      <c r="H3" s="30">
        <v>220</v>
      </c>
      <c r="I3" s="30">
        <v>220</v>
      </c>
      <c r="J3" s="30">
        <v>220</v>
      </c>
      <c r="K3" s="30">
        <v>220</v>
      </c>
      <c r="L3" s="30">
        <v>220</v>
      </c>
      <c r="M3" s="30">
        <v>220</v>
      </c>
    </row>
    <row r="4" spans="1:13" ht="13.5">
      <c r="A4" s="1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29" t="s">
        <v>41</v>
      </c>
      <c r="B5" s="30">
        <f>SUM(B6:B11)</f>
        <v>214.94</v>
      </c>
      <c r="C5" s="30">
        <f aca="true" t="shared" si="0" ref="C5:M5">SUM(C6:C11)</f>
        <v>214.94</v>
      </c>
      <c r="D5" s="30">
        <f t="shared" si="0"/>
        <v>214.94</v>
      </c>
      <c r="E5" s="30">
        <f t="shared" si="0"/>
        <v>214.94</v>
      </c>
      <c r="F5" s="30">
        <f t="shared" si="0"/>
        <v>214.94</v>
      </c>
      <c r="G5" s="30">
        <f t="shared" si="0"/>
        <v>214.94</v>
      </c>
      <c r="H5" s="30">
        <f t="shared" si="0"/>
        <v>214.94</v>
      </c>
      <c r="I5" s="30">
        <f t="shared" si="0"/>
        <v>214.94</v>
      </c>
      <c r="J5" s="30">
        <f t="shared" si="0"/>
        <v>217.64</v>
      </c>
      <c r="K5" s="30">
        <f t="shared" si="0"/>
        <v>218.09</v>
      </c>
      <c r="L5" s="30">
        <f t="shared" si="0"/>
        <v>214.94</v>
      </c>
      <c r="M5" s="30">
        <f t="shared" si="0"/>
        <v>214.94</v>
      </c>
    </row>
    <row r="6" spans="1:13" ht="13.5">
      <c r="A6" s="6" t="s">
        <v>40</v>
      </c>
      <c r="B6" s="30">
        <f>'Движение запасов'!$B$5</f>
        <v>180</v>
      </c>
      <c r="C6" s="30">
        <f>'Движение запасов'!$B$5</f>
        <v>180</v>
      </c>
      <c r="D6" s="30">
        <f>'Движение запасов'!$B$5</f>
        <v>180</v>
      </c>
      <c r="E6" s="30">
        <f>'Движение запасов'!$B$5</f>
        <v>180</v>
      </c>
      <c r="F6" s="30">
        <f>'Движение запасов'!$B$5</f>
        <v>180</v>
      </c>
      <c r="G6" s="30">
        <f>'Движение запасов'!$B$5</f>
        <v>180</v>
      </c>
      <c r="H6" s="30">
        <f>'Движение запасов'!$B$5</f>
        <v>180</v>
      </c>
      <c r="I6" s="30">
        <f>'Движение запасов'!$B$5</f>
        <v>180</v>
      </c>
      <c r="J6" s="30">
        <f>'Движение запасов'!$B$5</f>
        <v>180</v>
      </c>
      <c r="K6" s="30">
        <f>'Движение запасов'!$B$5</f>
        <v>180</v>
      </c>
      <c r="L6" s="30">
        <f>'Движение запасов'!$B$5</f>
        <v>180</v>
      </c>
      <c r="M6" s="30">
        <f>'Движение запасов'!$B$5</f>
        <v>180</v>
      </c>
    </row>
    <row r="7" spans="1:13" ht="13.5">
      <c r="A7" s="6" t="s">
        <v>42</v>
      </c>
      <c r="B7" s="30">
        <f>B3*10%</f>
        <v>22</v>
      </c>
      <c r="C7" s="30">
        <f>C3*10%</f>
        <v>22</v>
      </c>
      <c r="D7" s="30">
        <f>D3*10%</f>
        <v>22</v>
      </c>
      <c r="E7" s="30">
        <f>E3*10%</f>
        <v>22</v>
      </c>
      <c r="F7" s="30">
        <f aca="true" t="shared" si="1" ref="F7:M7">F3*10%</f>
        <v>22</v>
      </c>
      <c r="G7" s="30">
        <f t="shared" si="1"/>
        <v>22</v>
      </c>
      <c r="H7" s="30">
        <f t="shared" si="1"/>
        <v>22</v>
      </c>
      <c r="I7" s="30">
        <f t="shared" si="1"/>
        <v>22</v>
      </c>
      <c r="J7" s="30">
        <f t="shared" si="1"/>
        <v>22</v>
      </c>
      <c r="K7" s="30">
        <f t="shared" si="1"/>
        <v>22</v>
      </c>
      <c r="L7" s="30">
        <f t="shared" si="1"/>
        <v>22</v>
      </c>
      <c r="M7" s="30">
        <f t="shared" si="1"/>
        <v>22</v>
      </c>
    </row>
    <row r="8" spans="1:13" ht="13.5">
      <c r="A8" s="6" t="s">
        <v>43</v>
      </c>
      <c r="B8" s="30">
        <f>B7*27%</f>
        <v>5.94</v>
      </c>
      <c r="C8" s="30">
        <f>C7*27%</f>
        <v>5.94</v>
      </c>
      <c r="D8" s="30">
        <f>D7*27%</f>
        <v>5.94</v>
      </c>
      <c r="E8" s="30">
        <f>E7*27%</f>
        <v>5.94</v>
      </c>
      <c r="F8" s="30">
        <f aca="true" t="shared" si="2" ref="F8:M8">F7*27%</f>
        <v>5.94</v>
      </c>
      <c r="G8" s="30">
        <f t="shared" si="2"/>
        <v>5.94</v>
      </c>
      <c r="H8" s="30">
        <f t="shared" si="2"/>
        <v>5.94</v>
      </c>
      <c r="I8" s="30">
        <f t="shared" si="2"/>
        <v>5.94</v>
      </c>
      <c r="J8" s="30">
        <f t="shared" si="2"/>
        <v>5.94</v>
      </c>
      <c r="K8" s="30">
        <f t="shared" si="2"/>
        <v>5.94</v>
      </c>
      <c r="L8" s="30">
        <f t="shared" si="2"/>
        <v>5.94</v>
      </c>
      <c r="M8" s="30">
        <f t="shared" si="2"/>
        <v>5.94</v>
      </c>
    </row>
    <row r="9" spans="1:13" ht="13.5">
      <c r="A9" s="6" t="s">
        <v>48</v>
      </c>
      <c r="B9" s="30">
        <f>Баланс!$B$3/20</f>
        <v>5</v>
      </c>
      <c r="C9" s="30">
        <f>Баланс!$B$3/20</f>
        <v>5</v>
      </c>
      <c r="D9" s="30">
        <f>Баланс!$B$3/20</f>
        <v>5</v>
      </c>
      <c r="E9" s="30">
        <f>Баланс!$B$3/20</f>
        <v>5</v>
      </c>
      <c r="F9" s="30">
        <f>Баланс!$B$3/20</f>
        <v>5</v>
      </c>
      <c r="G9" s="30">
        <f>Баланс!$B$3/20</f>
        <v>5</v>
      </c>
      <c r="H9" s="30">
        <f>Баланс!$B$3/20</f>
        <v>5</v>
      </c>
      <c r="I9" s="30">
        <f>Баланс!$B$3/20</f>
        <v>5</v>
      </c>
      <c r="J9" s="30">
        <f>Баланс!$B$3/20</f>
        <v>5</v>
      </c>
      <c r="K9" s="30">
        <f>Баланс!$B$3/20</f>
        <v>5</v>
      </c>
      <c r="L9" s="30">
        <f>Баланс!$B$3/20</f>
        <v>5</v>
      </c>
      <c r="M9" s="30">
        <f>Баланс!$B$3/20</f>
        <v>5</v>
      </c>
    </row>
    <row r="10" spans="1:13" ht="13.5">
      <c r="A10" s="6" t="s">
        <v>49</v>
      </c>
      <c r="B10" s="30">
        <v>2</v>
      </c>
      <c r="C10" s="30">
        <v>2</v>
      </c>
      <c r="D10" s="30">
        <v>2</v>
      </c>
      <c r="E10" s="30">
        <v>2</v>
      </c>
      <c r="F10" s="30">
        <v>2</v>
      </c>
      <c r="G10" s="30">
        <v>2</v>
      </c>
      <c r="H10" s="30">
        <v>2</v>
      </c>
      <c r="I10" s="30">
        <v>2</v>
      </c>
      <c r="J10" s="30">
        <v>2</v>
      </c>
      <c r="K10" s="30">
        <v>2</v>
      </c>
      <c r="L10" s="30">
        <v>2</v>
      </c>
      <c r="M10" s="30">
        <v>2</v>
      </c>
    </row>
    <row r="11" spans="1:13" ht="13.5">
      <c r="A11" s="6" t="s">
        <v>138</v>
      </c>
      <c r="B11" s="30">
        <f>Баланс!C22*1.5%</f>
        <v>0</v>
      </c>
      <c r="C11" s="30">
        <f>Баланс!D22*1.5%</f>
        <v>0</v>
      </c>
      <c r="D11" s="30">
        <f>Баланс!E22*1.5%</f>
        <v>0</v>
      </c>
      <c r="E11" s="30">
        <f>Баланс!F22*1.5%</f>
        <v>0</v>
      </c>
      <c r="F11" s="30">
        <f>Баланс!G22*1.5%</f>
        <v>0</v>
      </c>
      <c r="G11" s="30">
        <f>Баланс!H22*1.5%</f>
        <v>0</v>
      </c>
      <c r="H11" s="30">
        <f>Баланс!I22*1.5%</f>
        <v>0</v>
      </c>
      <c r="I11" s="30">
        <f>Баланс!J22*1.5%</f>
        <v>0</v>
      </c>
      <c r="J11" s="30">
        <f>Баланс!K22*1.5%</f>
        <v>2.6999999999999997</v>
      </c>
      <c r="K11" s="30">
        <f>Баланс!L22*1.5%</f>
        <v>3.15</v>
      </c>
      <c r="L11" s="30">
        <f>Баланс!M22*1.5%</f>
        <v>0</v>
      </c>
      <c r="M11" s="30">
        <f>Баланс!N22*1.5%</f>
        <v>0</v>
      </c>
    </row>
    <row r="12" spans="1:13" ht="13.5">
      <c r="A12" s="6" t="s">
        <v>51</v>
      </c>
      <c r="B12" s="30">
        <f>B3-B5</f>
        <v>5.060000000000002</v>
      </c>
      <c r="C12" s="30">
        <f>C3-C5</f>
        <v>5.060000000000002</v>
      </c>
      <c r="D12" s="30">
        <f>D3-D5</f>
        <v>5.060000000000002</v>
      </c>
      <c r="E12" s="30">
        <f>E3-E5</f>
        <v>5.060000000000002</v>
      </c>
      <c r="F12" s="30">
        <f aca="true" t="shared" si="3" ref="F12:M12">F3-F5</f>
        <v>5.060000000000002</v>
      </c>
      <c r="G12" s="30">
        <f t="shared" si="3"/>
        <v>5.060000000000002</v>
      </c>
      <c r="H12" s="30">
        <f t="shared" si="3"/>
        <v>5.060000000000002</v>
      </c>
      <c r="I12" s="30">
        <f t="shared" si="3"/>
        <v>5.060000000000002</v>
      </c>
      <c r="J12" s="30">
        <f t="shared" si="3"/>
        <v>2.3600000000000136</v>
      </c>
      <c r="K12" s="30">
        <f t="shared" si="3"/>
        <v>1.9099999999999966</v>
      </c>
      <c r="L12" s="30">
        <f t="shared" si="3"/>
        <v>5.060000000000002</v>
      </c>
      <c r="M12" s="30">
        <f t="shared" si="3"/>
        <v>5.060000000000002</v>
      </c>
    </row>
    <row r="13" spans="1:13" ht="13.5">
      <c r="A13" s="6" t="s">
        <v>50</v>
      </c>
      <c r="B13" s="30">
        <f>B12*20%</f>
        <v>1.0120000000000005</v>
      </c>
      <c r="C13" s="30">
        <f>C12*20%</f>
        <v>1.0120000000000005</v>
      </c>
      <c r="D13" s="30">
        <f>D12*20%</f>
        <v>1.0120000000000005</v>
      </c>
      <c r="E13" s="30">
        <f>E12*20%</f>
        <v>1.0120000000000005</v>
      </c>
      <c r="F13" s="30">
        <f aca="true" t="shared" si="4" ref="F13:M13">F12*20%</f>
        <v>1.0120000000000005</v>
      </c>
      <c r="G13" s="30">
        <f t="shared" si="4"/>
        <v>1.0120000000000005</v>
      </c>
      <c r="H13" s="30">
        <f t="shared" si="4"/>
        <v>1.0120000000000005</v>
      </c>
      <c r="I13" s="30">
        <f t="shared" si="4"/>
        <v>1.0120000000000005</v>
      </c>
      <c r="J13" s="30">
        <f t="shared" si="4"/>
        <v>0.47200000000000275</v>
      </c>
      <c r="K13" s="30">
        <f t="shared" si="4"/>
        <v>0.38199999999999934</v>
      </c>
      <c r="L13" s="30">
        <f t="shared" si="4"/>
        <v>1.0120000000000005</v>
      </c>
      <c r="M13" s="30">
        <f t="shared" si="4"/>
        <v>1.0120000000000005</v>
      </c>
    </row>
    <row r="14" spans="1:13" ht="13.5">
      <c r="A14" s="29" t="s">
        <v>52</v>
      </c>
      <c r="B14" s="31">
        <f>B12-B13</f>
        <v>4.048000000000002</v>
      </c>
      <c r="C14" s="31">
        <f>C12-C13</f>
        <v>4.048000000000002</v>
      </c>
      <c r="D14" s="31">
        <f>D12-D13</f>
        <v>4.048000000000002</v>
      </c>
      <c r="E14" s="31">
        <f>E12-E13</f>
        <v>4.048000000000002</v>
      </c>
      <c r="F14" s="31">
        <f aca="true" t="shared" si="5" ref="F14:M14">F12-F13</f>
        <v>4.048000000000002</v>
      </c>
      <c r="G14" s="31">
        <f t="shared" si="5"/>
        <v>4.048000000000002</v>
      </c>
      <c r="H14" s="31">
        <f t="shared" si="5"/>
        <v>4.048000000000002</v>
      </c>
      <c r="I14" s="31">
        <f t="shared" si="5"/>
        <v>4.048000000000002</v>
      </c>
      <c r="J14" s="31">
        <f t="shared" si="5"/>
        <v>1.888000000000011</v>
      </c>
      <c r="K14" s="31">
        <f t="shared" si="5"/>
        <v>1.5279999999999974</v>
      </c>
      <c r="L14" s="31">
        <f t="shared" si="5"/>
        <v>4.048000000000002</v>
      </c>
      <c r="M14" s="31">
        <f t="shared" si="5"/>
        <v>4.048000000000002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B3" sqref="B3:M3"/>
    </sheetView>
  </sheetViews>
  <sheetFormatPr defaultColWidth="9.125" defaultRowHeight="12.75"/>
  <cols>
    <col min="1" max="1" width="69.625" style="41" customWidth="1"/>
    <col min="2" max="13" width="10.625" style="41" customWidth="1"/>
    <col min="14" max="16384" width="9.125" style="41" customWidth="1"/>
  </cols>
  <sheetData>
    <row r="1" spans="1:13" ht="27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8.75" customHeight="1">
      <c r="A2" s="42" t="s">
        <v>87</v>
      </c>
    </row>
    <row r="3" spans="1:13" ht="36">
      <c r="A3" s="67" t="s">
        <v>80</v>
      </c>
      <c r="B3" s="67" t="s">
        <v>44</v>
      </c>
      <c r="C3" s="67" t="s">
        <v>45</v>
      </c>
      <c r="D3" s="67" t="s">
        <v>46</v>
      </c>
      <c r="E3" s="67" t="s">
        <v>47</v>
      </c>
      <c r="F3" s="67" t="s">
        <v>64</v>
      </c>
      <c r="G3" s="67" t="s">
        <v>65</v>
      </c>
      <c r="H3" s="67" t="s">
        <v>66</v>
      </c>
      <c r="I3" s="67" t="s">
        <v>67</v>
      </c>
      <c r="J3" s="67" t="s">
        <v>68</v>
      </c>
      <c r="K3" s="67" t="s">
        <v>69</v>
      </c>
      <c r="L3" s="67" t="s">
        <v>70</v>
      </c>
      <c r="M3" s="67" t="s">
        <v>71</v>
      </c>
    </row>
    <row r="4" spans="1:13" ht="18.75" customHeight="1">
      <c r="A4" s="43" t="s">
        <v>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47" customFormat="1" ht="18">
      <c r="A5" s="45" t="s">
        <v>52</v>
      </c>
      <c r="B5" s="46">
        <f>БДР!B14</f>
        <v>4.048000000000002</v>
      </c>
      <c r="C5" s="46">
        <f>БДР!C14</f>
        <v>4.048000000000002</v>
      </c>
      <c r="D5" s="46">
        <f>БДР!D14</f>
        <v>4.048000000000002</v>
      </c>
      <c r="E5" s="46">
        <f>БДР!E14</f>
        <v>4.048000000000002</v>
      </c>
      <c r="F5" s="46">
        <f>БДР!F14</f>
        <v>4.048000000000002</v>
      </c>
      <c r="G5" s="46">
        <f>БДР!G14</f>
        <v>4.048000000000002</v>
      </c>
      <c r="H5" s="46">
        <f>БДР!H14</f>
        <v>4.048000000000002</v>
      </c>
      <c r="I5" s="46">
        <f>БДР!I14</f>
        <v>4.048000000000002</v>
      </c>
      <c r="J5" s="46">
        <f>БДР!J14</f>
        <v>1.888000000000011</v>
      </c>
      <c r="K5" s="46">
        <f>БДР!K14</f>
        <v>1.5279999999999974</v>
      </c>
      <c r="L5" s="46">
        <f>БДР!L14</f>
        <v>4.048000000000002</v>
      </c>
      <c r="M5" s="46">
        <f>БДР!M14</f>
        <v>4.048000000000002</v>
      </c>
    </row>
    <row r="6" spans="1:13" ht="18">
      <c r="A6" s="48" t="s">
        <v>89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8">
      <c r="A7" s="50" t="s">
        <v>90</v>
      </c>
      <c r="B7" s="49">
        <f>БДР!B9</f>
        <v>5</v>
      </c>
      <c r="C7" s="49">
        <f>БДР!C9</f>
        <v>5</v>
      </c>
      <c r="D7" s="49">
        <f>БДР!D9</f>
        <v>5</v>
      </c>
      <c r="E7" s="49">
        <f>БДР!E9</f>
        <v>5</v>
      </c>
      <c r="F7" s="49">
        <f>БДР!F9</f>
        <v>5</v>
      </c>
      <c r="G7" s="49">
        <f>БДР!G9</f>
        <v>5</v>
      </c>
      <c r="H7" s="49">
        <f>БДР!H9</f>
        <v>5</v>
      </c>
      <c r="I7" s="49">
        <f>БДР!I9</f>
        <v>5</v>
      </c>
      <c r="J7" s="49">
        <f>БДР!J9</f>
        <v>5</v>
      </c>
      <c r="K7" s="49">
        <f>БДР!K9</f>
        <v>5</v>
      </c>
      <c r="L7" s="49">
        <f>БДР!L9</f>
        <v>5</v>
      </c>
      <c r="M7" s="49">
        <f>БДР!M9</f>
        <v>5</v>
      </c>
    </row>
    <row r="8" spans="1:13" ht="36">
      <c r="A8" s="50" t="s">
        <v>91</v>
      </c>
      <c r="B8" s="49">
        <f>Баланс!C25-Баланс!B25</f>
        <v>0</v>
      </c>
      <c r="C8" s="49">
        <f>Баланс!D25-Баланс!C25</f>
        <v>0</v>
      </c>
      <c r="D8" s="49">
        <f>Баланс!E25-Баланс!D25</f>
        <v>0</v>
      </c>
      <c r="E8" s="49">
        <f>Баланс!F25-Баланс!E25</f>
        <v>212</v>
      </c>
      <c r="F8" s="49">
        <f>Баланс!G25-Баланс!F25</f>
        <v>0</v>
      </c>
      <c r="G8" s="49">
        <f>Баланс!H25-Баланс!G25</f>
        <v>-212</v>
      </c>
      <c r="H8" s="49">
        <f>Баланс!I25-Баланс!H25</f>
        <v>0</v>
      </c>
      <c r="I8" s="49">
        <f>Баланс!J25-Баланс!I25</f>
        <v>213</v>
      </c>
      <c r="J8" s="49">
        <f>Баланс!K25-Баланс!J25</f>
        <v>-213</v>
      </c>
      <c r="K8" s="49">
        <f>Баланс!L25-Баланс!K25</f>
        <v>-212</v>
      </c>
      <c r="L8" s="49">
        <f>Баланс!M25-Баланс!L25</f>
        <v>212</v>
      </c>
      <c r="M8" s="49">
        <f>Баланс!N25-Баланс!M25</f>
        <v>0</v>
      </c>
    </row>
    <row r="9" spans="1:13" ht="18">
      <c r="A9" s="48" t="s">
        <v>92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36">
      <c r="A10" s="50" t="s">
        <v>93</v>
      </c>
      <c r="B10" s="51">
        <f>-(Баланс!C9-Баланс!B9)</f>
        <v>0.4000000000000341</v>
      </c>
      <c r="C10" s="51">
        <f>-(Баланс!D9-Баланс!C9)</f>
        <v>0</v>
      </c>
      <c r="D10" s="51">
        <f>-(Баланс!E9-Баланс!D9)</f>
        <v>0</v>
      </c>
      <c r="E10" s="51">
        <f>-(Баланс!F9-Баланс!E9)</f>
        <v>0</v>
      </c>
      <c r="F10" s="51">
        <f>-(Баланс!G9-Баланс!F9)</f>
        <v>0</v>
      </c>
      <c r="G10" s="51">
        <f>-(Баланс!H9-Баланс!G9)</f>
        <v>0</v>
      </c>
      <c r="H10" s="51">
        <f>-(Баланс!I9-Баланс!H9)</f>
        <v>0</v>
      </c>
      <c r="I10" s="51">
        <f>-(Баланс!J9-Баланс!I9)</f>
        <v>0</v>
      </c>
      <c r="J10" s="51">
        <f>-(Баланс!K9-Баланс!J9)</f>
        <v>0</v>
      </c>
      <c r="K10" s="51">
        <f>-(Баланс!L9-Баланс!K9)</f>
        <v>0</v>
      </c>
      <c r="L10" s="51">
        <f>-(Баланс!M9-Баланс!L9)</f>
        <v>0</v>
      </c>
      <c r="M10" s="51">
        <f>-(Баланс!N9-Баланс!M9)</f>
        <v>0</v>
      </c>
    </row>
    <row r="11" spans="1:13" ht="36">
      <c r="A11" s="50" t="s">
        <v>94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</row>
    <row r="12" spans="1:13" ht="18">
      <c r="A12" s="50" t="s">
        <v>95</v>
      </c>
      <c r="B12" s="46">
        <f aca="true" t="shared" si="0" ref="B12:M12">SUM(B13:B15)</f>
        <v>0</v>
      </c>
      <c r="C12" s="46">
        <f t="shared" si="0"/>
        <v>0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-180</v>
      </c>
      <c r="J12" s="46">
        <f t="shared" si="0"/>
        <v>0</v>
      </c>
      <c r="K12" s="46">
        <f t="shared" si="0"/>
        <v>180</v>
      </c>
      <c r="L12" s="46">
        <f t="shared" si="0"/>
        <v>0</v>
      </c>
      <c r="M12" s="46">
        <f t="shared" si="0"/>
        <v>0</v>
      </c>
    </row>
    <row r="13" spans="1:13" ht="18">
      <c r="A13" s="52" t="s">
        <v>96</v>
      </c>
      <c r="B13" s="46">
        <f>-(Баланс!C6-Баланс!B6)</f>
        <v>0</v>
      </c>
      <c r="C13" s="46">
        <f>-(Баланс!D6-Баланс!C6)</f>
        <v>0</v>
      </c>
      <c r="D13" s="46">
        <f>-(Баланс!E6-Баланс!D6)</f>
        <v>0</v>
      </c>
      <c r="E13" s="46">
        <f>-(Баланс!F6-Баланс!E6)</f>
        <v>0</v>
      </c>
      <c r="F13" s="46">
        <f>-(Баланс!G6-Баланс!F6)</f>
        <v>0</v>
      </c>
      <c r="G13" s="46">
        <f>-(Баланс!H6-Баланс!G6)</f>
        <v>0</v>
      </c>
      <c r="H13" s="46">
        <f>-(Баланс!I6-Баланс!H6)</f>
        <v>0</v>
      </c>
      <c r="I13" s="46">
        <f>-(Баланс!J6-Баланс!I6)</f>
        <v>-180</v>
      </c>
      <c r="J13" s="46">
        <f>-(Баланс!K6-Баланс!J6)</f>
        <v>0</v>
      </c>
      <c r="K13" s="46">
        <f>-(Баланс!L6-Баланс!K6)</f>
        <v>180</v>
      </c>
      <c r="L13" s="46">
        <f>-(Баланс!M6-Баланс!L6)</f>
        <v>0</v>
      </c>
      <c r="M13" s="46">
        <f>-(Баланс!N6-Баланс!M6)</f>
        <v>0</v>
      </c>
    </row>
    <row r="14" spans="1:13" ht="18">
      <c r="A14" s="52" t="s">
        <v>97</v>
      </c>
      <c r="B14" s="46">
        <f>Баланс!C8-Баланс!B8</f>
        <v>0</v>
      </c>
      <c r="C14" s="46">
        <f>Баланс!D8-Баланс!C8</f>
        <v>0</v>
      </c>
      <c r="D14" s="46">
        <f>Баланс!E8-Баланс!D8</f>
        <v>0</v>
      </c>
      <c r="E14" s="46">
        <f>Баланс!F8-Баланс!E8</f>
        <v>0</v>
      </c>
      <c r="F14" s="46">
        <f>Баланс!G8-Баланс!F8</f>
        <v>0</v>
      </c>
      <c r="G14" s="46">
        <f>Баланс!H8-Баланс!G8</f>
        <v>0</v>
      </c>
      <c r="H14" s="46">
        <f>Баланс!I8-Баланс!H8</f>
        <v>0</v>
      </c>
      <c r="I14" s="46">
        <f>Баланс!J8-Баланс!I8</f>
        <v>0</v>
      </c>
      <c r="J14" s="46">
        <f>Баланс!K8-Баланс!J8</f>
        <v>0</v>
      </c>
      <c r="K14" s="46">
        <f>Баланс!L8-Баланс!K8</f>
        <v>0</v>
      </c>
      <c r="L14" s="46">
        <f>Баланс!M8-Баланс!L8</f>
        <v>0</v>
      </c>
      <c r="M14" s="46">
        <f>Баланс!N8-Баланс!M8</f>
        <v>0</v>
      </c>
    </row>
    <row r="15" spans="1:13" ht="18">
      <c r="A15" s="52" t="s">
        <v>115</v>
      </c>
      <c r="B15" s="46">
        <f>Баланс!C7-Баланс!B7</f>
        <v>0</v>
      </c>
      <c r="C15" s="46">
        <f>Баланс!D7-Баланс!C7</f>
        <v>0</v>
      </c>
      <c r="D15" s="46">
        <f>Баланс!E7-Баланс!D7</f>
        <v>0</v>
      </c>
      <c r="E15" s="46">
        <f>Баланс!F7-Баланс!E7</f>
        <v>0</v>
      </c>
      <c r="F15" s="46">
        <f>Баланс!G7-Баланс!F7</f>
        <v>0</v>
      </c>
      <c r="G15" s="46">
        <f>Баланс!H7-Баланс!G7</f>
        <v>0</v>
      </c>
      <c r="H15" s="46">
        <f>Баланс!I7-Баланс!H7</f>
        <v>0</v>
      </c>
      <c r="I15" s="46">
        <f>Баланс!J7-Баланс!I7</f>
        <v>0</v>
      </c>
      <c r="J15" s="46">
        <f>Баланс!K7-Баланс!J7</f>
        <v>0</v>
      </c>
      <c r="K15" s="46">
        <f>Баланс!L7-Баланс!K7</f>
        <v>0</v>
      </c>
      <c r="L15" s="46">
        <f>Баланс!M7-Баланс!L7</f>
        <v>0</v>
      </c>
      <c r="M15" s="46">
        <f>Баланс!N7-Баланс!M7</f>
        <v>0</v>
      </c>
    </row>
    <row r="16" spans="1:13" s="47" customFormat="1" ht="36">
      <c r="A16" s="45" t="s">
        <v>98</v>
      </c>
      <c r="B16" s="53">
        <f>SUM(B5:B12)</f>
        <v>9.448000000000036</v>
      </c>
      <c r="C16" s="53">
        <f aca="true" t="shared" si="1" ref="C16:M16">SUM(C5:C12)</f>
        <v>9.048000000000002</v>
      </c>
      <c r="D16" s="53">
        <f t="shared" si="1"/>
        <v>9.048000000000002</v>
      </c>
      <c r="E16" s="53">
        <f t="shared" si="1"/>
        <v>221.048</v>
      </c>
      <c r="F16" s="53">
        <f t="shared" si="1"/>
        <v>9.048000000000002</v>
      </c>
      <c r="G16" s="53">
        <f t="shared" si="1"/>
        <v>-202.952</v>
      </c>
      <c r="H16" s="53">
        <f t="shared" si="1"/>
        <v>9.048000000000002</v>
      </c>
      <c r="I16" s="53">
        <f t="shared" si="1"/>
        <v>42.048</v>
      </c>
      <c r="J16" s="53">
        <f t="shared" si="1"/>
        <v>-206.112</v>
      </c>
      <c r="K16" s="53">
        <f t="shared" si="1"/>
        <v>-25.47200000000001</v>
      </c>
      <c r="L16" s="53">
        <f t="shared" si="1"/>
        <v>221.048</v>
      </c>
      <c r="M16" s="53">
        <f t="shared" si="1"/>
        <v>9.048000000000002</v>
      </c>
    </row>
    <row r="17" spans="1:13" ht="18">
      <c r="A17" s="45" t="s">
        <v>99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8">
      <c r="A18" s="48" t="s">
        <v>100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</row>
    <row r="19" spans="1:13" ht="9" customHeight="1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8">
      <c r="A20" s="48" t="s">
        <v>101</v>
      </c>
      <c r="B20" s="49">
        <f>Баланс!C4-Баланс!B4</f>
        <v>9.048000000000002</v>
      </c>
      <c r="C20" s="49">
        <f>Баланс!D4-Баланс!C4</f>
        <v>9.048000000000002</v>
      </c>
      <c r="D20" s="49">
        <f>Баланс!E4-Баланс!D4</f>
        <v>9.048000000000002</v>
      </c>
      <c r="E20" s="49">
        <f>Баланс!F4-Баланс!E4</f>
        <v>221.048</v>
      </c>
      <c r="F20" s="49">
        <f>Баланс!G4-Баланс!F4</f>
        <v>9.048000000000002</v>
      </c>
      <c r="G20" s="49">
        <f>Баланс!H4-Баланс!G4</f>
        <v>-202.952</v>
      </c>
      <c r="H20" s="49">
        <f>Баланс!I4-Баланс!H4</f>
        <v>9.048000000000002</v>
      </c>
      <c r="I20" s="49">
        <f>Баланс!J4-Баланс!I4</f>
        <v>9.048000000000002</v>
      </c>
      <c r="J20" s="49">
        <f>Баланс!K4-Баланс!J4</f>
        <v>6.888000000000005</v>
      </c>
      <c r="K20" s="49">
        <f>Баланс!L4-Баланс!K4</f>
        <v>6.528000000000006</v>
      </c>
      <c r="L20" s="49">
        <f>Баланс!M4-Баланс!L4</f>
        <v>9.048000000000002</v>
      </c>
      <c r="M20" s="49">
        <f>Баланс!N4-Баланс!M4</f>
        <v>9.048000000000002</v>
      </c>
    </row>
    <row r="21" spans="1:13" ht="18">
      <c r="A21" s="48" t="s">
        <v>102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36">
      <c r="A22" s="45" t="s">
        <v>103</v>
      </c>
      <c r="B22" s="53">
        <f aca="true" t="shared" si="2" ref="B22:M22">B18-B20</f>
        <v>-9.048000000000002</v>
      </c>
      <c r="C22" s="53">
        <f t="shared" si="2"/>
        <v>-9.048000000000002</v>
      </c>
      <c r="D22" s="53">
        <f t="shared" si="2"/>
        <v>-9.048000000000002</v>
      </c>
      <c r="E22" s="53">
        <f t="shared" si="2"/>
        <v>-221.048</v>
      </c>
      <c r="F22" s="53">
        <f t="shared" si="2"/>
        <v>-9.048000000000002</v>
      </c>
      <c r="G22" s="53">
        <f t="shared" si="2"/>
        <v>202.952</v>
      </c>
      <c r="H22" s="53">
        <f t="shared" si="2"/>
        <v>-9.048000000000002</v>
      </c>
      <c r="I22" s="53">
        <f t="shared" si="2"/>
        <v>-9.048000000000002</v>
      </c>
      <c r="J22" s="53">
        <f t="shared" si="2"/>
        <v>-6.888000000000005</v>
      </c>
      <c r="K22" s="53">
        <f t="shared" si="2"/>
        <v>-6.528000000000006</v>
      </c>
      <c r="L22" s="53">
        <f t="shared" si="2"/>
        <v>-9.048000000000002</v>
      </c>
      <c r="M22" s="53">
        <f t="shared" si="2"/>
        <v>-9.048000000000002</v>
      </c>
    </row>
    <row r="23" spans="1:13" ht="18">
      <c r="A23" s="45" t="s">
        <v>104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8">
      <c r="A24" s="48" t="s">
        <v>105</v>
      </c>
      <c r="B24" s="53">
        <f aca="true" t="shared" si="3" ref="B24:M24">SUM(B25:B26)</f>
        <v>0</v>
      </c>
      <c r="C24" s="53">
        <f t="shared" si="3"/>
        <v>0</v>
      </c>
      <c r="D24" s="53">
        <f t="shared" si="3"/>
        <v>0</v>
      </c>
      <c r="E24" s="53">
        <f t="shared" si="3"/>
        <v>0</v>
      </c>
      <c r="F24" s="53">
        <f t="shared" si="3"/>
        <v>0</v>
      </c>
      <c r="G24" s="53">
        <f t="shared" si="3"/>
        <v>0</v>
      </c>
      <c r="H24" s="53">
        <f t="shared" si="3"/>
        <v>0</v>
      </c>
      <c r="I24" s="53">
        <f t="shared" si="3"/>
        <v>0</v>
      </c>
      <c r="J24" s="53">
        <f t="shared" si="3"/>
        <v>180</v>
      </c>
      <c r="K24" s="53">
        <f t="shared" si="3"/>
        <v>30</v>
      </c>
      <c r="L24" s="53">
        <f t="shared" si="3"/>
        <v>-210</v>
      </c>
      <c r="M24" s="53">
        <f t="shared" si="3"/>
        <v>0</v>
      </c>
    </row>
    <row r="25" spans="1:13" s="54" customFormat="1" ht="20.25">
      <c r="A25" s="50" t="s">
        <v>106</v>
      </c>
      <c r="B25" s="49">
        <f>Баланс!C22-Баланс!B22</f>
        <v>0</v>
      </c>
      <c r="C25" s="49">
        <f>Баланс!D22-Баланс!C22</f>
        <v>0</v>
      </c>
      <c r="D25" s="49">
        <f>Баланс!E22-Баланс!D22</f>
        <v>0</v>
      </c>
      <c r="E25" s="49">
        <f>Баланс!F22-Баланс!E22</f>
        <v>0</v>
      </c>
      <c r="F25" s="49">
        <f>Баланс!G22-Баланс!F22</f>
        <v>0</v>
      </c>
      <c r="G25" s="49">
        <f>Баланс!H22-Баланс!G22</f>
        <v>0</v>
      </c>
      <c r="H25" s="49">
        <f>Баланс!I22-Баланс!H22</f>
        <v>0</v>
      </c>
      <c r="I25" s="49">
        <f>Баланс!J22-Баланс!I22</f>
        <v>0</v>
      </c>
      <c r="J25" s="49">
        <f>Баланс!K22-Баланс!J22</f>
        <v>180</v>
      </c>
      <c r="K25" s="49">
        <f>Баланс!L22-Баланс!K22</f>
        <v>30</v>
      </c>
      <c r="L25" s="49">
        <f>Баланс!M22-Баланс!L22</f>
        <v>-210</v>
      </c>
      <c r="M25" s="49">
        <f>Баланс!N22-Баланс!M22</f>
        <v>0</v>
      </c>
    </row>
    <row r="26" spans="1:13" ht="18">
      <c r="A26" s="50" t="s">
        <v>107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</row>
    <row r="27" spans="1:13" ht="18">
      <c r="A27" s="45" t="s">
        <v>108</v>
      </c>
      <c r="B27" s="53">
        <f aca="true" t="shared" si="4" ref="B27:M27">SUM(B28:B29)</f>
        <v>0</v>
      </c>
      <c r="C27" s="53">
        <f t="shared" si="4"/>
        <v>0</v>
      </c>
      <c r="D27" s="53">
        <f t="shared" si="4"/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53">
        <f t="shared" si="4"/>
        <v>0</v>
      </c>
      <c r="K27" s="53">
        <f t="shared" si="4"/>
        <v>0</v>
      </c>
      <c r="L27" s="53">
        <f t="shared" si="4"/>
        <v>0</v>
      </c>
      <c r="M27" s="53">
        <f t="shared" si="4"/>
        <v>0</v>
      </c>
    </row>
    <row r="28" spans="1:13" ht="18">
      <c r="A28" s="50" t="s">
        <v>109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</row>
    <row r="29" spans="1:13" ht="18">
      <c r="A29" s="50" t="s">
        <v>110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</row>
    <row r="30" spans="1:13" ht="18">
      <c r="A30" s="45" t="s">
        <v>111</v>
      </c>
      <c r="B30" s="53">
        <f aca="true" t="shared" si="5" ref="B30:M30">B24-B27</f>
        <v>0</v>
      </c>
      <c r="C30" s="53">
        <f t="shared" si="5"/>
        <v>0</v>
      </c>
      <c r="D30" s="53">
        <f t="shared" si="5"/>
        <v>0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180</v>
      </c>
      <c r="K30" s="53">
        <f t="shared" si="5"/>
        <v>30</v>
      </c>
      <c r="L30" s="53">
        <f t="shared" si="5"/>
        <v>-210</v>
      </c>
      <c r="M30" s="53">
        <f t="shared" si="5"/>
        <v>0</v>
      </c>
    </row>
    <row r="31" spans="1:13" ht="18" thickBot="1">
      <c r="A31" s="55" t="s">
        <v>112</v>
      </c>
      <c r="B31" s="56">
        <f aca="true" t="shared" si="6" ref="B31:M31">B16+B22+B30</f>
        <v>0.4000000000000341</v>
      </c>
      <c r="C31" s="56">
        <f t="shared" si="6"/>
        <v>0</v>
      </c>
      <c r="D31" s="56">
        <f t="shared" si="6"/>
        <v>0</v>
      </c>
      <c r="E31" s="56">
        <f t="shared" si="6"/>
        <v>0</v>
      </c>
      <c r="F31" s="56">
        <f t="shared" si="6"/>
        <v>0</v>
      </c>
      <c r="G31" s="56">
        <f t="shared" si="6"/>
        <v>0</v>
      </c>
      <c r="H31" s="56">
        <f t="shared" si="6"/>
        <v>0</v>
      </c>
      <c r="I31" s="56">
        <f t="shared" si="6"/>
        <v>33</v>
      </c>
      <c r="J31" s="56">
        <f t="shared" si="6"/>
        <v>-33</v>
      </c>
      <c r="K31" s="56">
        <f t="shared" si="6"/>
        <v>-2.000000000000014</v>
      </c>
      <c r="L31" s="56">
        <f t="shared" si="6"/>
        <v>2</v>
      </c>
      <c r="M31" s="56">
        <f t="shared" si="6"/>
        <v>0</v>
      </c>
    </row>
    <row r="32" spans="1:13" s="47" customFormat="1" ht="18">
      <c r="A32" s="57" t="s">
        <v>113</v>
      </c>
      <c r="B32" s="58">
        <f>Баланс!B10</f>
        <v>6</v>
      </c>
      <c r="C32" s="58">
        <f>B33</f>
        <v>6.400000000000034</v>
      </c>
      <c r="D32" s="58">
        <f>C33</f>
        <v>6.400000000000034</v>
      </c>
      <c r="E32" s="58">
        <f>D33</f>
        <v>6.400000000000034</v>
      </c>
      <c r="F32" s="58">
        <f>E33</f>
        <v>6.400000000000034</v>
      </c>
      <c r="G32" s="58">
        <f>F33</f>
        <v>6.400000000000034</v>
      </c>
      <c r="H32" s="58">
        <f aca="true" t="shared" si="7" ref="H32:M32">G33</f>
        <v>6.400000000000034</v>
      </c>
      <c r="I32" s="58">
        <f t="shared" si="7"/>
        <v>6.400000000000034</v>
      </c>
      <c r="J32" s="58">
        <f t="shared" si="7"/>
        <v>39.400000000000034</v>
      </c>
      <c r="K32" s="58">
        <f t="shared" si="7"/>
        <v>6.400000000000034</v>
      </c>
      <c r="L32" s="58">
        <f t="shared" si="7"/>
        <v>4.40000000000002</v>
      </c>
      <c r="M32" s="58">
        <f t="shared" si="7"/>
        <v>6.40000000000002</v>
      </c>
    </row>
    <row r="33" spans="1:13" s="47" customFormat="1" ht="18" thickBot="1">
      <c r="A33" s="59" t="s">
        <v>114</v>
      </c>
      <c r="B33" s="60">
        <f aca="true" t="shared" si="8" ref="B33:G33">B32+B31</f>
        <v>6.400000000000034</v>
      </c>
      <c r="C33" s="60">
        <f t="shared" si="8"/>
        <v>6.400000000000034</v>
      </c>
      <c r="D33" s="60">
        <f t="shared" si="8"/>
        <v>6.400000000000034</v>
      </c>
      <c r="E33" s="60">
        <f t="shared" si="8"/>
        <v>6.400000000000034</v>
      </c>
      <c r="F33" s="60">
        <f t="shared" si="8"/>
        <v>6.400000000000034</v>
      </c>
      <c r="G33" s="60">
        <f t="shared" si="8"/>
        <v>6.400000000000034</v>
      </c>
      <c r="H33" s="60">
        <f aca="true" t="shared" si="9" ref="H33:M33">H32+H31</f>
        <v>6.400000000000034</v>
      </c>
      <c r="I33" s="60">
        <f t="shared" si="9"/>
        <v>39.400000000000034</v>
      </c>
      <c r="J33" s="60">
        <f t="shared" si="9"/>
        <v>6.400000000000034</v>
      </c>
      <c r="K33" s="60">
        <f t="shared" si="9"/>
        <v>4.40000000000002</v>
      </c>
      <c r="L33" s="60">
        <f t="shared" si="9"/>
        <v>6.40000000000002</v>
      </c>
      <c r="M33" s="60">
        <f t="shared" si="9"/>
        <v>6.40000000000002</v>
      </c>
    </row>
    <row r="34" spans="1:6" s="62" customFormat="1" ht="18">
      <c r="A34" s="61"/>
      <c r="C34" s="63"/>
      <c r="D34" s="64"/>
      <c r="E34" s="64"/>
      <c r="F34" s="64"/>
    </row>
    <row r="35" spans="1:3" s="62" customFormat="1" ht="18">
      <c r="A35" s="61"/>
      <c r="C35" s="63"/>
    </row>
    <row r="36" spans="1:3" s="62" customFormat="1" ht="18">
      <c r="A36" s="61"/>
      <c r="C36" s="63"/>
    </row>
    <row r="37" s="62" customFormat="1" ht="18">
      <c r="A37" s="61"/>
    </row>
    <row r="38" s="62" customFormat="1" ht="18">
      <c r="A38" s="61"/>
    </row>
    <row r="39" spans="1:4" s="62" customFormat="1" ht="18">
      <c r="A39" s="61"/>
      <c r="D39" s="63"/>
    </row>
    <row r="40" spans="1:4" s="62" customFormat="1" ht="18">
      <c r="A40" s="61"/>
      <c r="D40" s="63"/>
    </row>
    <row r="41" s="62" customFormat="1" ht="18">
      <c r="A41" s="61"/>
    </row>
    <row r="42" s="62" customFormat="1" ht="18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2" activeCellId="1" sqref="K25 K22"/>
    </sheetView>
  </sheetViews>
  <sheetFormatPr defaultColWidth="9.00390625" defaultRowHeight="12.75"/>
  <cols>
    <col min="1" max="1" width="34.50390625" style="0" customWidth="1"/>
  </cols>
  <sheetData>
    <row r="1" spans="1:14" ht="13.5">
      <c r="A1" t="s">
        <v>122</v>
      </c>
      <c r="B1" s="39">
        <f>B12-B27</f>
        <v>0</v>
      </c>
      <c r="C1" s="39">
        <f aca="true" t="shared" si="0" ref="C1:N1">C12-C27</f>
        <v>0</v>
      </c>
      <c r="D1" s="39">
        <f t="shared" si="0"/>
        <v>0</v>
      </c>
      <c r="E1" s="39">
        <f t="shared" si="0"/>
        <v>0</v>
      </c>
      <c r="F1" s="39">
        <f t="shared" si="0"/>
        <v>0</v>
      </c>
      <c r="G1" s="39">
        <f t="shared" si="0"/>
        <v>0</v>
      </c>
      <c r="H1" s="39">
        <f t="shared" si="0"/>
        <v>0</v>
      </c>
      <c r="I1" s="39">
        <f t="shared" si="0"/>
        <v>0</v>
      </c>
      <c r="J1" s="39">
        <f t="shared" si="0"/>
        <v>0</v>
      </c>
      <c r="K1" s="39">
        <f t="shared" si="0"/>
        <v>0</v>
      </c>
      <c r="L1" s="39">
        <f t="shared" si="0"/>
        <v>0</v>
      </c>
      <c r="M1" s="39">
        <f t="shared" si="0"/>
        <v>0</v>
      </c>
      <c r="N1" s="39">
        <f t="shared" si="0"/>
        <v>0</v>
      </c>
    </row>
    <row r="2" spans="1:14" ht="13.5">
      <c r="A2" s="26"/>
      <c r="B2" s="4">
        <v>40543</v>
      </c>
      <c r="C2" s="4">
        <v>40574</v>
      </c>
      <c r="D2" s="4">
        <v>40602</v>
      </c>
      <c r="E2" s="4">
        <v>40633</v>
      </c>
      <c r="F2" s="4">
        <v>40663</v>
      </c>
      <c r="G2" s="4">
        <v>40694</v>
      </c>
      <c r="H2" s="4">
        <v>40724</v>
      </c>
      <c r="I2" s="4">
        <v>40755</v>
      </c>
      <c r="J2" s="4">
        <v>40786</v>
      </c>
      <c r="K2" s="4">
        <v>40816</v>
      </c>
      <c r="L2" s="4">
        <v>40847</v>
      </c>
      <c r="M2" s="4">
        <v>40877</v>
      </c>
      <c r="N2" s="4">
        <v>40908</v>
      </c>
    </row>
    <row r="3" spans="1:14" ht="12.75">
      <c r="A3" s="26" t="s">
        <v>20</v>
      </c>
      <c r="B3" s="30">
        <v>100</v>
      </c>
      <c r="C3" s="30">
        <f>B3-БДР!B9</f>
        <v>95</v>
      </c>
      <c r="D3" s="30">
        <f>C3-БДР!C9</f>
        <v>90</v>
      </c>
      <c r="E3" s="30">
        <f>D3-БДР!D9</f>
        <v>85</v>
      </c>
      <c r="F3" s="30">
        <f>E3-БДР!E9</f>
        <v>80</v>
      </c>
      <c r="G3" s="30">
        <f>F3-БДР!F9</f>
        <v>75</v>
      </c>
      <c r="H3" s="30">
        <f>G3-БДР!G9</f>
        <v>70</v>
      </c>
      <c r="I3" s="30">
        <f>H3-БДР!H9</f>
        <v>65</v>
      </c>
      <c r="J3" s="30">
        <f>I3-БДР!I9</f>
        <v>60</v>
      </c>
      <c r="K3" s="30">
        <f>J3-БДР!J9</f>
        <v>55</v>
      </c>
      <c r="L3" s="30">
        <f>K3-БДР!K9</f>
        <v>50</v>
      </c>
      <c r="M3" s="30">
        <f>L3-БДР!L9</f>
        <v>45</v>
      </c>
      <c r="N3" s="30">
        <f>M3-БДР!M9</f>
        <v>40</v>
      </c>
    </row>
    <row r="4" spans="1:14" ht="12.75">
      <c r="A4" s="26" t="s">
        <v>58</v>
      </c>
      <c r="B4" s="30">
        <v>10</v>
      </c>
      <c r="C4" s="30">
        <f>$B$4+($B$3-C3)+БДР!B14</f>
        <v>19.048000000000002</v>
      </c>
      <c r="D4" s="30">
        <f>$B$4+($B$3-D3)+SUM(БДР!$B$14:C14)</f>
        <v>28.096000000000004</v>
      </c>
      <c r="E4" s="30">
        <f>$B$4+($B$3-E3)+SUM(БДР!$B$14:D14)</f>
        <v>37.144000000000005</v>
      </c>
      <c r="F4" s="30">
        <f>$B$4+($B$3-F3)+SUM(БДР!$B$14:E14)+212</f>
        <v>258.192</v>
      </c>
      <c r="G4" s="30">
        <f>$B$4+($B$3-G3)+SUM(БДР!$B$14:F14)+212</f>
        <v>267.24</v>
      </c>
      <c r="H4" s="30">
        <f>$B$4+($B$3-H3)+SUM(БДР!$B$14:G14)</f>
        <v>64.28800000000001</v>
      </c>
      <c r="I4" s="30">
        <f>$B$4+($B$3-I3)+SUM(БДР!$B$14:H14)</f>
        <v>73.33600000000001</v>
      </c>
      <c r="J4" s="30">
        <f>$B$4+($B$3-J3)+SUM(БДР!$B$14:I14)</f>
        <v>82.38400000000001</v>
      </c>
      <c r="K4" s="30">
        <f>$B$4+($B$3-K3)+SUM(БДР!$B$14:J14)</f>
        <v>89.27200000000002</v>
      </c>
      <c r="L4" s="30">
        <f>$B$4+($B$3-L3)+SUM(БДР!$B$14:K14)</f>
        <v>95.80000000000003</v>
      </c>
      <c r="M4" s="30">
        <f>$B$4+($B$3-M3)+SUM(БДР!$B$14:L14)</f>
        <v>104.84800000000003</v>
      </c>
      <c r="N4" s="30">
        <f>$B$4+($B$3-N3)+SUM(БДР!$B$14:M14)</f>
        <v>113.89600000000003</v>
      </c>
    </row>
    <row r="5" spans="1:14" ht="12.75">
      <c r="A5" s="27" t="s">
        <v>21</v>
      </c>
      <c r="B5" s="31">
        <f>SUM(B3:B4)</f>
        <v>110</v>
      </c>
      <c r="C5" s="31">
        <f>SUM(C3:C4)</f>
        <v>114.048</v>
      </c>
      <c r="D5" s="31">
        <f>SUM(D3:D4)</f>
        <v>118.096</v>
      </c>
      <c r="E5" s="31">
        <f>SUM(E3:E4)</f>
        <v>122.144</v>
      </c>
      <c r="F5" s="31">
        <f aca="true" t="shared" si="1" ref="F5:N5">SUM(F3:F4)</f>
        <v>338.192</v>
      </c>
      <c r="G5" s="31">
        <f t="shared" si="1"/>
        <v>342.24</v>
      </c>
      <c r="H5" s="31">
        <f t="shared" si="1"/>
        <v>134.288</v>
      </c>
      <c r="I5" s="31">
        <f t="shared" si="1"/>
        <v>138.336</v>
      </c>
      <c r="J5" s="31">
        <f t="shared" si="1"/>
        <v>142.38400000000001</v>
      </c>
      <c r="K5" s="31">
        <f t="shared" si="1"/>
        <v>144.27200000000002</v>
      </c>
      <c r="L5" s="31">
        <f t="shared" si="1"/>
        <v>145.8</v>
      </c>
      <c r="M5" s="31">
        <f t="shared" si="1"/>
        <v>149.848</v>
      </c>
      <c r="N5" s="31">
        <f t="shared" si="1"/>
        <v>153.89600000000002</v>
      </c>
    </row>
    <row r="6" spans="1:14" ht="12.75">
      <c r="A6" s="26" t="s">
        <v>22</v>
      </c>
      <c r="B6" s="30">
        <f>'Движение запасов'!B3</f>
        <v>180</v>
      </c>
      <c r="C6" s="30">
        <f>'Движение запасов'!B6</f>
        <v>180</v>
      </c>
      <c r="D6" s="30">
        <f>'Движение запасов'!C6</f>
        <v>180</v>
      </c>
      <c r="E6" s="30">
        <f>'Движение запасов'!D6</f>
        <v>180</v>
      </c>
      <c r="F6" s="30">
        <f>'Движение запасов'!E6</f>
        <v>180</v>
      </c>
      <c r="G6" s="30">
        <f>'Движение запасов'!F6</f>
        <v>180</v>
      </c>
      <c r="H6" s="30">
        <f>'Движение запасов'!G6</f>
        <v>180</v>
      </c>
      <c r="I6" s="30">
        <f>'Движение запасов'!H6</f>
        <v>180</v>
      </c>
      <c r="J6" s="30">
        <f>'Движение запасов'!I6</f>
        <v>360</v>
      </c>
      <c r="K6" s="30">
        <f>'Движение запасов'!J6</f>
        <v>360</v>
      </c>
      <c r="L6" s="30">
        <f>'Движение запасов'!K6</f>
        <v>180</v>
      </c>
      <c r="M6" s="30">
        <f>'Движение запасов'!L6</f>
        <v>180</v>
      </c>
      <c r="N6" s="30">
        <f>'Движение запасов'!M6</f>
        <v>180</v>
      </c>
    </row>
    <row r="7" spans="1:14" ht="12.75">
      <c r="A7" s="26" t="s">
        <v>4</v>
      </c>
      <c r="B7" s="30">
        <v>10</v>
      </c>
      <c r="C7" s="30">
        <v>10</v>
      </c>
      <c r="D7" s="30">
        <v>10</v>
      </c>
      <c r="E7" s="30">
        <v>10</v>
      </c>
      <c r="F7" s="30">
        <v>10</v>
      </c>
      <c r="G7" s="30">
        <v>10</v>
      </c>
      <c r="H7" s="30">
        <v>10</v>
      </c>
      <c r="I7" s="30">
        <v>10</v>
      </c>
      <c r="J7" s="30">
        <v>10</v>
      </c>
      <c r="K7" s="30">
        <v>10</v>
      </c>
      <c r="L7" s="30">
        <v>10</v>
      </c>
      <c r="M7" s="30">
        <v>10</v>
      </c>
      <c r="N7" s="30">
        <v>10</v>
      </c>
    </row>
    <row r="8" spans="1:14" ht="12.75">
      <c r="A8" s="26" t="s">
        <v>23</v>
      </c>
      <c r="B8" s="30">
        <v>20</v>
      </c>
      <c r="C8" s="30">
        <v>20</v>
      </c>
      <c r="D8" s="30">
        <v>20</v>
      </c>
      <c r="E8" s="30">
        <v>20</v>
      </c>
      <c r="F8" s="30">
        <v>20</v>
      </c>
      <c r="G8" s="30">
        <v>20</v>
      </c>
      <c r="H8" s="30">
        <v>20</v>
      </c>
      <c r="I8" s="30">
        <v>20</v>
      </c>
      <c r="J8" s="30">
        <v>20</v>
      </c>
      <c r="K8" s="30">
        <v>20</v>
      </c>
      <c r="L8" s="30">
        <v>20</v>
      </c>
      <c r="M8" s="30">
        <v>20</v>
      </c>
      <c r="N8" s="30">
        <v>20</v>
      </c>
    </row>
    <row r="9" spans="1:14" ht="12.75">
      <c r="A9" s="26" t="s">
        <v>14</v>
      </c>
      <c r="B9" s="37">
        <v>260</v>
      </c>
      <c r="C9" s="30">
        <f>БДР!B3*1.18</f>
        <v>259.59999999999997</v>
      </c>
      <c r="D9" s="30">
        <f>БДР!C3*1.18</f>
        <v>259.59999999999997</v>
      </c>
      <c r="E9" s="30">
        <f>БДР!D3*1.18</f>
        <v>259.59999999999997</v>
      </c>
      <c r="F9" s="30">
        <f>БДР!E3*1.18</f>
        <v>259.59999999999997</v>
      </c>
      <c r="G9" s="30">
        <f>БДР!F3*1.18</f>
        <v>259.59999999999997</v>
      </c>
      <c r="H9" s="30">
        <f>БДР!G3*1.18</f>
        <v>259.59999999999997</v>
      </c>
      <c r="I9" s="30">
        <f>БДР!H3*1.18</f>
        <v>259.59999999999997</v>
      </c>
      <c r="J9" s="30">
        <f>БДР!I3*1.18</f>
        <v>259.59999999999997</v>
      </c>
      <c r="K9" s="30">
        <f>БДР!J3*1.18</f>
        <v>259.59999999999997</v>
      </c>
      <c r="L9" s="30">
        <f>БДР!K3*1.18</f>
        <v>259.59999999999997</v>
      </c>
      <c r="M9" s="30">
        <f>БДР!L3*1.18</f>
        <v>259.59999999999997</v>
      </c>
      <c r="N9" s="30">
        <f>БДР!M3*1.18</f>
        <v>259.59999999999997</v>
      </c>
    </row>
    <row r="10" spans="1:14" ht="12.75">
      <c r="A10" s="26" t="s">
        <v>24</v>
      </c>
      <c r="B10" s="30">
        <v>6</v>
      </c>
      <c r="C10" s="30">
        <f>ДДС!B33</f>
        <v>6.400000000000034</v>
      </c>
      <c r="D10" s="30">
        <f>ДДС!C33</f>
        <v>6.400000000000034</v>
      </c>
      <c r="E10" s="30">
        <f>ДДС!D33</f>
        <v>6.400000000000034</v>
      </c>
      <c r="F10" s="30">
        <f>ДДС!E33</f>
        <v>6.400000000000034</v>
      </c>
      <c r="G10" s="30">
        <f>ДДС!F33</f>
        <v>6.400000000000034</v>
      </c>
      <c r="H10" s="30">
        <f>ДДС!G33</f>
        <v>6.400000000000034</v>
      </c>
      <c r="I10" s="30">
        <f>ДДС!H33</f>
        <v>6.400000000000034</v>
      </c>
      <c r="J10" s="30">
        <f>ДДС!I33</f>
        <v>39.400000000000034</v>
      </c>
      <c r="K10" s="30">
        <f>ДДС!J33</f>
        <v>6.400000000000034</v>
      </c>
      <c r="L10" s="30">
        <f>ДДС!K33</f>
        <v>4.40000000000002</v>
      </c>
      <c r="M10" s="30">
        <f>ДДС!L33</f>
        <v>6.40000000000002</v>
      </c>
      <c r="N10" s="30">
        <f>ДДС!M33</f>
        <v>6.40000000000002</v>
      </c>
    </row>
    <row r="11" spans="1:14" ht="12.75">
      <c r="A11" s="27" t="s">
        <v>25</v>
      </c>
      <c r="B11" s="31">
        <f>SUM(B6:B10)</f>
        <v>476</v>
      </c>
      <c r="C11" s="31">
        <f>SUM(C6:C10)</f>
        <v>476</v>
      </c>
      <c r="D11" s="31">
        <f>SUM(D6:D10)</f>
        <v>476</v>
      </c>
      <c r="E11" s="31">
        <f>SUM(E6:E10)</f>
        <v>476</v>
      </c>
      <c r="F11" s="31">
        <f>SUM(F6:F10)</f>
        <v>476</v>
      </c>
      <c r="G11" s="31">
        <f aca="true" t="shared" si="2" ref="G11:N11">SUM(G6:G10)</f>
        <v>476</v>
      </c>
      <c r="H11" s="31">
        <f t="shared" si="2"/>
        <v>476</v>
      </c>
      <c r="I11" s="31">
        <f t="shared" si="2"/>
        <v>476</v>
      </c>
      <c r="J11" s="31">
        <f t="shared" si="2"/>
        <v>689</v>
      </c>
      <c r="K11" s="31">
        <f t="shared" si="2"/>
        <v>656</v>
      </c>
      <c r="L11" s="31">
        <f t="shared" si="2"/>
        <v>474</v>
      </c>
      <c r="M11" s="31">
        <f t="shared" si="2"/>
        <v>476</v>
      </c>
      <c r="N11" s="31">
        <f t="shared" si="2"/>
        <v>476</v>
      </c>
    </row>
    <row r="12" spans="1:14" ht="13.5">
      <c r="A12" s="28" t="s">
        <v>26</v>
      </c>
      <c r="B12" s="32">
        <f>B5+B11</f>
        <v>586</v>
      </c>
      <c r="C12" s="32">
        <f aca="true" t="shared" si="3" ref="C12:N12">C5+C11</f>
        <v>590.048</v>
      </c>
      <c r="D12" s="32">
        <f t="shared" si="3"/>
        <v>594.096</v>
      </c>
      <c r="E12" s="32">
        <f t="shared" si="3"/>
        <v>598.144</v>
      </c>
      <c r="F12" s="32">
        <f t="shared" si="3"/>
        <v>814.192</v>
      </c>
      <c r="G12" s="32">
        <f t="shared" si="3"/>
        <v>818.24</v>
      </c>
      <c r="H12" s="32">
        <f t="shared" si="3"/>
        <v>610.288</v>
      </c>
      <c r="I12" s="32">
        <f t="shared" si="3"/>
        <v>614.336</v>
      </c>
      <c r="J12" s="32">
        <f t="shared" si="3"/>
        <v>831.384</v>
      </c>
      <c r="K12" s="32">
        <f t="shared" si="3"/>
        <v>800.272</v>
      </c>
      <c r="L12" s="32">
        <f t="shared" si="3"/>
        <v>619.8</v>
      </c>
      <c r="M12" s="32">
        <f t="shared" si="3"/>
        <v>625.848</v>
      </c>
      <c r="N12" s="32">
        <f t="shared" si="3"/>
        <v>629.896</v>
      </c>
    </row>
    <row r="13" spans="1:14" ht="12.75">
      <c r="A13" s="2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26" t="s">
        <v>27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26" t="s">
        <v>28</v>
      </c>
      <c r="B15" s="30">
        <v>280</v>
      </c>
      <c r="C15" s="30">
        <v>280</v>
      </c>
      <c r="D15" s="30">
        <v>280</v>
      </c>
      <c r="E15" s="30">
        <v>280</v>
      </c>
      <c r="F15" s="30">
        <v>280</v>
      </c>
      <c r="G15" s="30">
        <v>280</v>
      </c>
      <c r="H15" s="30">
        <v>280</v>
      </c>
      <c r="I15" s="30">
        <v>280</v>
      </c>
      <c r="J15" s="30">
        <v>280</v>
      </c>
      <c r="K15" s="30">
        <v>280</v>
      </c>
      <c r="L15" s="30">
        <v>280</v>
      </c>
      <c r="M15" s="30">
        <v>280</v>
      </c>
      <c r="N15" s="30">
        <v>280</v>
      </c>
    </row>
    <row r="16" spans="1:14" ht="12.75">
      <c r="A16" s="26" t="s">
        <v>29</v>
      </c>
      <c r="B16" s="30">
        <v>2</v>
      </c>
      <c r="C16" s="30">
        <v>2</v>
      </c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0">
        <v>2</v>
      </c>
      <c r="L16" s="30">
        <v>2</v>
      </c>
      <c r="M16" s="30">
        <v>2</v>
      </c>
      <c r="N16" s="30">
        <v>2</v>
      </c>
    </row>
    <row r="17" spans="1:14" ht="12.75">
      <c r="A17" s="26" t="s">
        <v>30</v>
      </c>
      <c r="B17" s="30">
        <v>36</v>
      </c>
      <c r="C17" s="30">
        <f>B17+БДР!B14</f>
        <v>40.048</v>
      </c>
      <c r="D17" s="30">
        <f>C17+БДР!C14</f>
        <v>44.096000000000004</v>
      </c>
      <c r="E17" s="30">
        <f>D17+БДР!D14</f>
        <v>48.144000000000005</v>
      </c>
      <c r="F17" s="30">
        <f>E17+БДР!E14</f>
        <v>52.19200000000001</v>
      </c>
      <c r="G17" s="30">
        <f>F17+БДР!F14</f>
        <v>56.24000000000001</v>
      </c>
      <c r="H17" s="30">
        <f>G17+БДР!G14</f>
        <v>60.28800000000001</v>
      </c>
      <c r="I17" s="30">
        <f>H17+БДР!H14</f>
        <v>64.33600000000001</v>
      </c>
      <c r="J17" s="30">
        <f>I17+БДР!I14</f>
        <v>68.38400000000001</v>
      </c>
      <c r="K17" s="30">
        <f>J17+БДР!J14</f>
        <v>70.27200000000002</v>
      </c>
      <c r="L17" s="30">
        <f>K17+БДР!K14</f>
        <v>71.80000000000001</v>
      </c>
      <c r="M17" s="30">
        <f>L17+БДР!L14</f>
        <v>75.84800000000001</v>
      </c>
      <c r="N17" s="30">
        <f>M17+БДР!M14</f>
        <v>79.89600000000002</v>
      </c>
    </row>
    <row r="18" spans="1:14" ht="12.75">
      <c r="A18" s="27" t="s">
        <v>31</v>
      </c>
      <c r="B18" s="31">
        <f>SUM(B15:B17)</f>
        <v>318</v>
      </c>
      <c r="C18" s="31">
        <f>SUM(C15:C17)</f>
        <v>322.048</v>
      </c>
      <c r="D18" s="31">
        <f>SUM(D15:D17)</f>
        <v>326.096</v>
      </c>
      <c r="E18" s="31">
        <f>SUM(E15:E17)</f>
        <v>330.144</v>
      </c>
      <c r="F18" s="31">
        <f aca="true" t="shared" si="4" ref="F18:N18">SUM(F15:F17)</f>
        <v>334.192</v>
      </c>
      <c r="G18" s="31">
        <f t="shared" si="4"/>
        <v>338.24</v>
      </c>
      <c r="H18" s="31">
        <f t="shared" si="4"/>
        <v>342.288</v>
      </c>
      <c r="I18" s="31">
        <f t="shared" si="4"/>
        <v>346.336</v>
      </c>
      <c r="J18" s="31">
        <f t="shared" si="4"/>
        <v>350.384</v>
      </c>
      <c r="K18" s="31">
        <f t="shared" si="4"/>
        <v>352.27200000000005</v>
      </c>
      <c r="L18" s="31">
        <f t="shared" si="4"/>
        <v>353.8</v>
      </c>
      <c r="M18" s="31">
        <f t="shared" si="4"/>
        <v>357.848</v>
      </c>
      <c r="N18" s="31">
        <f t="shared" si="4"/>
        <v>361.896</v>
      </c>
    </row>
    <row r="19" spans="1:14" ht="12.75">
      <c r="A19" s="2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27" t="s">
        <v>32</v>
      </c>
      <c r="B20" s="31">
        <v>20</v>
      </c>
      <c r="C20" s="31">
        <v>20</v>
      </c>
      <c r="D20" s="31">
        <v>20</v>
      </c>
      <c r="E20" s="31">
        <v>20</v>
      </c>
      <c r="F20" s="31">
        <v>20</v>
      </c>
      <c r="G20" s="31">
        <v>20</v>
      </c>
      <c r="H20" s="31">
        <v>20</v>
      </c>
      <c r="I20" s="31">
        <v>20</v>
      </c>
      <c r="J20" s="31">
        <v>20</v>
      </c>
      <c r="K20" s="31">
        <v>20</v>
      </c>
      <c r="L20" s="31">
        <v>20</v>
      </c>
      <c r="M20" s="31">
        <v>20</v>
      </c>
      <c r="N20" s="31">
        <v>20</v>
      </c>
    </row>
    <row r="21" spans="1:14" ht="12.75">
      <c r="A21" s="2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26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>
        <v>180</v>
      </c>
      <c r="L22" s="30">
        <v>210</v>
      </c>
      <c r="M22" s="30"/>
      <c r="N22" s="30"/>
    </row>
    <row r="23" spans="1:14" ht="12.75">
      <c r="A23" s="26" t="s">
        <v>34</v>
      </c>
      <c r="B23" s="30">
        <v>10</v>
      </c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v>10</v>
      </c>
      <c r="I23" s="30">
        <v>10</v>
      </c>
      <c r="J23" s="30">
        <v>10</v>
      </c>
      <c r="K23" s="30">
        <v>10</v>
      </c>
      <c r="L23" s="30">
        <v>10</v>
      </c>
      <c r="M23" s="30">
        <v>10</v>
      </c>
      <c r="N23" s="30">
        <v>10</v>
      </c>
    </row>
    <row r="24" spans="1:14" ht="12.75">
      <c r="A24" s="26" t="s">
        <v>35</v>
      </c>
      <c r="B24" s="30">
        <v>26</v>
      </c>
      <c r="C24" s="30">
        <v>26</v>
      </c>
      <c r="D24" s="30">
        <v>26</v>
      </c>
      <c r="E24" s="30">
        <v>26</v>
      </c>
      <c r="F24" s="30">
        <v>26</v>
      </c>
      <c r="G24" s="30">
        <v>26</v>
      </c>
      <c r="H24" s="30">
        <v>26</v>
      </c>
      <c r="I24" s="30">
        <v>26</v>
      </c>
      <c r="J24" s="30">
        <v>26</v>
      </c>
      <c r="K24" s="30">
        <v>26</v>
      </c>
      <c r="L24" s="30">
        <v>26</v>
      </c>
      <c r="M24" s="30">
        <v>26</v>
      </c>
      <c r="N24" s="30">
        <v>26</v>
      </c>
    </row>
    <row r="25" spans="1:14" ht="12.75">
      <c r="A25" s="26" t="s">
        <v>36</v>
      </c>
      <c r="B25" s="30">
        <v>212</v>
      </c>
      <c r="C25" s="30">
        <f>'Движение запасов'!B8</f>
        <v>212</v>
      </c>
      <c r="D25" s="30">
        <f>'Движение запасов'!C8</f>
        <v>212</v>
      </c>
      <c r="E25" s="30">
        <f>'Движение запасов'!D8</f>
        <v>212</v>
      </c>
      <c r="F25" s="30">
        <f>'Движение запасов'!E8</f>
        <v>424</v>
      </c>
      <c r="G25" s="30">
        <f>'Движение запасов'!F8</f>
        <v>424</v>
      </c>
      <c r="H25" s="30">
        <f>'Движение запасов'!G8</f>
        <v>212</v>
      </c>
      <c r="I25" s="30">
        <f>'Движение запасов'!H8</f>
        <v>212</v>
      </c>
      <c r="J25" s="30">
        <f>'Движение запасов'!I8</f>
        <v>425</v>
      </c>
      <c r="K25" s="30">
        <f>'Движение запасов'!J8</f>
        <v>212</v>
      </c>
      <c r="L25" s="30">
        <f>'Движение запасов'!K8</f>
        <v>0</v>
      </c>
      <c r="M25" s="30">
        <f>'Движение запасов'!L8</f>
        <v>212</v>
      </c>
      <c r="N25" s="30">
        <f>'Движение запасов'!M8</f>
        <v>212</v>
      </c>
    </row>
    <row r="26" spans="1:14" ht="12.75">
      <c r="A26" s="27" t="s">
        <v>37</v>
      </c>
      <c r="B26" s="31">
        <f>SUM(B22:B25)</f>
        <v>248</v>
      </c>
      <c r="C26" s="31">
        <f aca="true" t="shared" si="5" ref="C26:N26">SUM(C22:C25)</f>
        <v>248</v>
      </c>
      <c r="D26" s="31">
        <f t="shared" si="5"/>
        <v>248</v>
      </c>
      <c r="E26" s="31">
        <f t="shared" si="5"/>
        <v>248</v>
      </c>
      <c r="F26" s="31">
        <f t="shared" si="5"/>
        <v>460</v>
      </c>
      <c r="G26" s="31">
        <f t="shared" si="5"/>
        <v>460</v>
      </c>
      <c r="H26" s="31">
        <f t="shared" si="5"/>
        <v>248</v>
      </c>
      <c r="I26" s="31">
        <f t="shared" si="5"/>
        <v>248</v>
      </c>
      <c r="J26" s="31">
        <f t="shared" si="5"/>
        <v>461</v>
      </c>
      <c r="K26" s="31">
        <f>SUM(K22:K25)</f>
        <v>428</v>
      </c>
      <c r="L26" s="31">
        <f t="shared" si="5"/>
        <v>246</v>
      </c>
      <c r="M26" s="31">
        <f t="shared" si="5"/>
        <v>248</v>
      </c>
      <c r="N26" s="31">
        <f t="shared" si="5"/>
        <v>248</v>
      </c>
    </row>
    <row r="27" spans="1:14" ht="13.5">
      <c r="A27" s="28" t="s">
        <v>38</v>
      </c>
      <c r="B27" s="32">
        <f>B18+B20+B26</f>
        <v>586</v>
      </c>
      <c r="C27" s="32">
        <f>C18+C20+C26</f>
        <v>590.048</v>
      </c>
      <c r="D27" s="32">
        <f>D18+D20+D26</f>
        <v>594.096</v>
      </c>
      <c r="E27" s="32">
        <f>E18+E20+E26</f>
        <v>598.144</v>
      </c>
      <c r="F27" s="32">
        <f aca="true" t="shared" si="6" ref="F27:N27">F18+F20+F26</f>
        <v>814.192</v>
      </c>
      <c r="G27" s="32">
        <f t="shared" si="6"/>
        <v>818.24</v>
      </c>
      <c r="H27" s="32">
        <f t="shared" si="6"/>
        <v>610.288</v>
      </c>
      <c r="I27" s="32">
        <f t="shared" si="6"/>
        <v>614.336</v>
      </c>
      <c r="J27" s="32">
        <f t="shared" si="6"/>
        <v>831.384</v>
      </c>
      <c r="K27" s="32">
        <f t="shared" si="6"/>
        <v>800.272</v>
      </c>
      <c r="L27" s="32">
        <f t="shared" si="6"/>
        <v>619.8</v>
      </c>
      <c r="M27" s="32">
        <f t="shared" si="6"/>
        <v>625.848</v>
      </c>
      <c r="N27" s="32">
        <f t="shared" si="6"/>
        <v>629.896</v>
      </c>
    </row>
    <row r="28" spans="2:14" ht="12.75">
      <c r="B28" s="35" t="b">
        <f>B12=B27</f>
        <v>1</v>
      </c>
      <c r="C28" s="35" t="b">
        <f>C12=C27</f>
        <v>1</v>
      </c>
      <c r="D28" s="35" t="b">
        <f>D12=D27</f>
        <v>1</v>
      </c>
      <c r="E28" s="35" t="b">
        <f>E12=E27</f>
        <v>1</v>
      </c>
      <c r="F28" s="35" t="b">
        <f aca="true" t="shared" si="7" ref="F28:N28">F12=F27</f>
        <v>1</v>
      </c>
      <c r="G28" s="35" t="b">
        <f t="shared" si="7"/>
        <v>1</v>
      </c>
      <c r="H28" s="35" t="b">
        <f t="shared" si="7"/>
        <v>1</v>
      </c>
      <c r="I28" s="35" t="b">
        <f t="shared" si="7"/>
        <v>1</v>
      </c>
      <c r="J28" s="35" t="b">
        <f t="shared" si="7"/>
        <v>1</v>
      </c>
      <c r="K28" s="35" t="b">
        <f t="shared" si="7"/>
        <v>1</v>
      </c>
      <c r="L28" s="35" t="b">
        <f t="shared" si="7"/>
        <v>1</v>
      </c>
      <c r="M28" s="35" t="b">
        <f t="shared" si="7"/>
        <v>1</v>
      </c>
      <c r="N28" s="35" t="b">
        <f t="shared" si="7"/>
        <v>1</v>
      </c>
    </row>
    <row r="29" spans="1:14" ht="12.75">
      <c r="A29" t="s">
        <v>56</v>
      </c>
      <c r="B29" s="34">
        <f>B18+B20-B5</f>
        <v>228</v>
      </c>
      <c r="C29" s="34">
        <f>C18+C20-C5</f>
        <v>228</v>
      </c>
      <c r="D29" s="34">
        <f>D18+D20-D5</f>
        <v>228</v>
      </c>
      <c r="E29" s="34">
        <f>E18+E20-E5</f>
        <v>228</v>
      </c>
      <c r="F29" s="34">
        <f aca="true" t="shared" si="8" ref="F29:N29">F18+F20-F5</f>
        <v>16</v>
      </c>
      <c r="G29" s="34">
        <f t="shared" si="8"/>
        <v>16</v>
      </c>
      <c r="H29" s="34">
        <f t="shared" si="8"/>
        <v>228</v>
      </c>
      <c r="I29" s="34">
        <f t="shared" si="8"/>
        <v>228</v>
      </c>
      <c r="J29" s="34">
        <f t="shared" si="8"/>
        <v>228</v>
      </c>
      <c r="K29" s="34">
        <f t="shared" si="8"/>
        <v>228.00000000000003</v>
      </c>
      <c r="L29" s="34">
        <f t="shared" si="8"/>
        <v>228</v>
      </c>
      <c r="M29" s="34">
        <f t="shared" si="8"/>
        <v>228</v>
      </c>
      <c r="N29" s="34">
        <f t="shared" si="8"/>
        <v>228</v>
      </c>
    </row>
    <row r="30" spans="1:14" ht="12.75">
      <c r="A30" t="s">
        <v>57</v>
      </c>
      <c r="B30" s="36">
        <f>ROUND(B11/B26,2)</f>
        <v>1.92</v>
      </c>
      <c r="C30" s="36">
        <f aca="true" t="shared" si="9" ref="C30:N30">ROUND(C11/C26,2)</f>
        <v>1.92</v>
      </c>
      <c r="D30" s="36">
        <f t="shared" si="9"/>
        <v>1.92</v>
      </c>
      <c r="E30" s="36">
        <f t="shared" si="9"/>
        <v>1.92</v>
      </c>
      <c r="F30" s="36">
        <f t="shared" si="9"/>
        <v>1.03</v>
      </c>
      <c r="G30" s="36">
        <f t="shared" si="9"/>
        <v>1.03</v>
      </c>
      <c r="H30" s="36">
        <f t="shared" si="9"/>
        <v>1.92</v>
      </c>
      <c r="I30" s="36">
        <f t="shared" si="9"/>
        <v>1.92</v>
      </c>
      <c r="J30" s="36">
        <f t="shared" si="9"/>
        <v>1.49</v>
      </c>
      <c r="K30" s="36">
        <f t="shared" si="9"/>
        <v>1.53</v>
      </c>
      <c r="L30" s="36">
        <f t="shared" si="9"/>
        <v>1.93</v>
      </c>
      <c r="M30" s="36">
        <f t="shared" si="9"/>
        <v>1.92</v>
      </c>
      <c r="N30" s="36">
        <f t="shared" si="9"/>
        <v>1.92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85" zoomScaleNormal="85" zoomScalePageLayoutView="0" workbookViewId="0" topLeftCell="A22">
      <selection activeCell="A1" sqref="A1:N46"/>
    </sheetView>
  </sheetViews>
  <sheetFormatPr defaultColWidth="9.00390625" defaultRowHeight="12.75"/>
  <cols>
    <col min="1" max="1" width="36.125" style="0" customWidth="1"/>
    <col min="2" max="2" width="8.50390625" style="0" customWidth="1"/>
    <col min="3" max="14" width="7.125" style="0" customWidth="1"/>
  </cols>
  <sheetData>
    <row r="1" spans="1:14" s="1" customFormat="1" ht="21">
      <c r="A1" s="85" t="s">
        <v>139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9" t="s">
        <v>140</v>
      </c>
    </row>
    <row r="2" spans="1:14" s="5" customFormat="1" ht="17.25" customHeight="1">
      <c r="A2" s="2" t="s">
        <v>1</v>
      </c>
      <c r="B2" s="3" t="s">
        <v>123</v>
      </c>
      <c r="C2" s="90">
        <v>40574</v>
      </c>
      <c r="D2" s="90">
        <v>40602</v>
      </c>
      <c r="E2" s="90">
        <v>40633</v>
      </c>
      <c r="F2" s="90">
        <v>40663</v>
      </c>
      <c r="G2" s="90">
        <v>40694</v>
      </c>
      <c r="H2" s="90">
        <v>40724</v>
      </c>
      <c r="I2" s="90">
        <v>40755</v>
      </c>
      <c r="J2" s="90">
        <v>40786</v>
      </c>
      <c r="K2" s="90">
        <v>40816</v>
      </c>
      <c r="L2" s="90">
        <v>40847</v>
      </c>
      <c r="M2" s="90">
        <v>40877</v>
      </c>
      <c r="N2" s="90">
        <v>40908</v>
      </c>
    </row>
    <row r="3" spans="1:14" s="9" customFormat="1" ht="13.5">
      <c r="A3" s="93" t="s">
        <v>24</v>
      </c>
      <c r="B3" s="94" t="s">
        <v>118</v>
      </c>
      <c r="C3" s="95">
        <f>Баланс!C10</f>
        <v>6.400000000000034</v>
      </c>
      <c r="D3" s="95">
        <f>Баланс!D10</f>
        <v>6.400000000000034</v>
      </c>
      <c r="E3" s="95">
        <f>Баланс!E10</f>
        <v>6.400000000000034</v>
      </c>
      <c r="F3" s="95">
        <f>Баланс!F10</f>
        <v>6.400000000000034</v>
      </c>
      <c r="G3" s="95">
        <f>Баланс!G10</f>
        <v>6.400000000000034</v>
      </c>
      <c r="H3" s="95">
        <f>Баланс!H10</f>
        <v>6.400000000000034</v>
      </c>
      <c r="I3" s="95">
        <f>Баланс!I10</f>
        <v>6.400000000000034</v>
      </c>
      <c r="J3" s="95">
        <f>Баланс!J10</f>
        <v>39.400000000000034</v>
      </c>
      <c r="K3" s="95">
        <f>Баланс!K10</f>
        <v>6.400000000000034</v>
      </c>
      <c r="L3" s="95">
        <f>Баланс!L10</f>
        <v>4.40000000000002</v>
      </c>
      <c r="M3" s="95">
        <f>Баланс!M10</f>
        <v>6.40000000000002</v>
      </c>
      <c r="N3" s="95">
        <f>Баланс!N10</f>
        <v>6.40000000000002</v>
      </c>
    </row>
    <row r="4" spans="1:14" s="9" customFormat="1" ht="13.5">
      <c r="A4" s="10" t="s">
        <v>14</v>
      </c>
      <c r="B4" s="16" t="s">
        <v>118</v>
      </c>
      <c r="C4" s="96">
        <f>Баланс!C9</f>
        <v>259.59999999999997</v>
      </c>
      <c r="D4" s="96">
        <f>Баланс!D9</f>
        <v>259.59999999999997</v>
      </c>
      <c r="E4" s="96">
        <f>Баланс!E9</f>
        <v>259.59999999999997</v>
      </c>
      <c r="F4" s="96">
        <f>Баланс!F9</f>
        <v>259.59999999999997</v>
      </c>
      <c r="G4" s="96">
        <f>Баланс!G9</f>
        <v>259.59999999999997</v>
      </c>
      <c r="H4" s="96">
        <f>Баланс!H9</f>
        <v>259.59999999999997</v>
      </c>
      <c r="I4" s="96">
        <f>Баланс!I9</f>
        <v>259.59999999999997</v>
      </c>
      <c r="J4" s="96">
        <f>Баланс!J9</f>
        <v>259.59999999999997</v>
      </c>
      <c r="K4" s="96">
        <f>Баланс!K9</f>
        <v>259.59999999999997</v>
      </c>
      <c r="L4" s="96">
        <f>Баланс!L9</f>
        <v>259.59999999999997</v>
      </c>
      <c r="M4" s="96">
        <f>Баланс!M9</f>
        <v>259.59999999999997</v>
      </c>
      <c r="N4" s="96">
        <f>Баланс!N9</f>
        <v>259.59999999999997</v>
      </c>
    </row>
    <row r="5" spans="1:14" s="9" customFormat="1" ht="13.5">
      <c r="A5" s="10" t="s">
        <v>3</v>
      </c>
      <c r="B5" s="16" t="s">
        <v>118</v>
      </c>
      <c r="C5" s="96">
        <f>Баланс!C6</f>
        <v>180</v>
      </c>
      <c r="D5" s="96">
        <f>Баланс!D6</f>
        <v>180</v>
      </c>
      <c r="E5" s="96">
        <f>Баланс!E6</f>
        <v>180</v>
      </c>
      <c r="F5" s="96">
        <f>Баланс!F6</f>
        <v>180</v>
      </c>
      <c r="G5" s="96">
        <f>Баланс!G6</f>
        <v>180</v>
      </c>
      <c r="H5" s="96">
        <f>Баланс!H6</f>
        <v>180</v>
      </c>
      <c r="I5" s="96">
        <f>Баланс!I6</f>
        <v>180</v>
      </c>
      <c r="J5" s="96">
        <f>Баланс!J6</f>
        <v>360</v>
      </c>
      <c r="K5" s="96">
        <f>Баланс!K6</f>
        <v>360</v>
      </c>
      <c r="L5" s="96">
        <f>Баланс!L6</f>
        <v>180</v>
      </c>
      <c r="M5" s="96">
        <f>Баланс!M6</f>
        <v>180</v>
      </c>
      <c r="N5" s="96">
        <f>Баланс!N6</f>
        <v>180</v>
      </c>
    </row>
    <row r="6" spans="1:14" s="9" customFormat="1" ht="13.5">
      <c r="A6" s="11" t="s">
        <v>4</v>
      </c>
      <c r="B6" s="16" t="s">
        <v>118</v>
      </c>
      <c r="C6" s="97">
        <f>Баланс!C7</f>
        <v>10</v>
      </c>
      <c r="D6" s="97">
        <f>Баланс!D7</f>
        <v>10</v>
      </c>
      <c r="E6" s="97">
        <f>Баланс!E7</f>
        <v>10</v>
      </c>
      <c r="F6" s="97">
        <f>Баланс!F7</f>
        <v>10</v>
      </c>
      <c r="G6" s="97">
        <f>Баланс!G7</f>
        <v>10</v>
      </c>
      <c r="H6" s="97">
        <f>Баланс!H7</f>
        <v>10</v>
      </c>
      <c r="I6" s="97">
        <f>Баланс!I7</f>
        <v>10</v>
      </c>
      <c r="J6" s="97">
        <f>Баланс!J7</f>
        <v>10</v>
      </c>
      <c r="K6" s="97">
        <f>Баланс!K7</f>
        <v>10</v>
      </c>
      <c r="L6" s="97">
        <f>Баланс!L7</f>
        <v>10</v>
      </c>
      <c r="M6" s="97">
        <f>Баланс!M7</f>
        <v>10</v>
      </c>
      <c r="N6" s="97">
        <f>Баланс!N7</f>
        <v>10</v>
      </c>
    </row>
    <row r="7" spans="1:14" s="12" customFormat="1" ht="13.5">
      <c r="A7" s="10" t="s">
        <v>6</v>
      </c>
      <c r="B7" s="16" t="s">
        <v>118</v>
      </c>
      <c r="C7" s="96">
        <f>Баланс!C8</f>
        <v>20</v>
      </c>
      <c r="D7" s="96">
        <f>Баланс!D8</f>
        <v>20</v>
      </c>
      <c r="E7" s="96">
        <f>Баланс!E8</f>
        <v>20</v>
      </c>
      <c r="F7" s="96">
        <f>Баланс!F8</f>
        <v>20</v>
      </c>
      <c r="G7" s="96">
        <f>Баланс!G8</f>
        <v>20</v>
      </c>
      <c r="H7" s="96">
        <f>Баланс!H8</f>
        <v>20</v>
      </c>
      <c r="I7" s="96">
        <f>Баланс!I8</f>
        <v>20</v>
      </c>
      <c r="J7" s="96">
        <f>Баланс!J8</f>
        <v>20</v>
      </c>
      <c r="K7" s="96">
        <f>Баланс!K8</f>
        <v>20</v>
      </c>
      <c r="L7" s="96">
        <f>Баланс!L8</f>
        <v>20</v>
      </c>
      <c r="M7" s="96">
        <f>Баланс!M8</f>
        <v>20</v>
      </c>
      <c r="N7" s="96">
        <f>Баланс!N8</f>
        <v>20</v>
      </c>
    </row>
    <row r="8" spans="1:14" s="9" customFormat="1" ht="30.75" customHeight="1">
      <c r="A8" s="6" t="s">
        <v>18</v>
      </c>
      <c r="B8" s="16" t="s">
        <v>118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</row>
    <row r="9" spans="1:14" s="9" customFormat="1" ht="18" customHeight="1">
      <c r="A9" s="29" t="s">
        <v>17</v>
      </c>
      <c r="B9" s="20" t="s">
        <v>118</v>
      </c>
      <c r="C9" s="98">
        <f>Баланс!C25</f>
        <v>212</v>
      </c>
      <c r="D9" s="98">
        <f>Баланс!D25</f>
        <v>212</v>
      </c>
      <c r="E9" s="98">
        <f>Баланс!E25</f>
        <v>212</v>
      </c>
      <c r="F9" s="98">
        <f>Баланс!F25</f>
        <v>424</v>
      </c>
      <c r="G9" s="98">
        <f>Баланс!G25</f>
        <v>424</v>
      </c>
      <c r="H9" s="98">
        <f>Баланс!H25</f>
        <v>212</v>
      </c>
      <c r="I9" s="98">
        <f>Баланс!I25</f>
        <v>212</v>
      </c>
      <c r="J9" s="98">
        <f>Баланс!J25</f>
        <v>425</v>
      </c>
      <c r="K9" s="98">
        <f>Баланс!K25</f>
        <v>212</v>
      </c>
      <c r="L9" s="98">
        <f>Баланс!L25</f>
        <v>0</v>
      </c>
      <c r="M9" s="98">
        <f>Баланс!M25</f>
        <v>212</v>
      </c>
      <c r="N9" s="98">
        <f>Баланс!N25</f>
        <v>212</v>
      </c>
    </row>
    <row r="10" spans="1:14" s="9" customFormat="1" ht="13.5">
      <c r="A10" s="6" t="s">
        <v>117</v>
      </c>
      <c r="B10" s="16" t="s">
        <v>118</v>
      </c>
      <c r="C10" s="97">
        <f>Баланс!C23+Баланс!C24</f>
        <v>36</v>
      </c>
      <c r="D10" s="97">
        <f>Баланс!D23+Баланс!D24</f>
        <v>36</v>
      </c>
      <c r="E10" s="97">
        <f>Баланс!E23+Баланс!E24</f>
        <v>36</v>
      </c>
      <c r="F10" s="97">
        <f>Баланс!F23+Баланс!F24</f>
        <v>36</v>
      </c>
      <c r="G10" s="97">
        <f>Баланс!G23+Баланс!G24</f>
        <v>36</v>
      </c>
      <c r="H10" s="97">
        <f>Баланс!H23+Баланс!H24</f>
        <v>36</v>
      </c>
      <c r="I10" s="97">
        <f>Баланс!I23+Баланс!I24</f>
        <v>36</v>
      </c>
      <c r="J10" s="97">
        <f>Баланс!J23+Баланс!J24</f>
        <v>36</v>
      </c>
      <c r="K10" s="97">
        <f>Баланс!K23+Баланс!K24</f>
        <v>36</v>
      </c>
      <c r="L10" s="97">
        <f>Баланс!L23+Баланс!L24</f>
        <v>36</v>
      </c>
      <c r="M10" s="97">
        <f>Баланс!M23+Баланс!M24</f>
        <v>36</v>
      </c>
      <c r="N10" s="97">
        <f>Баланс!N23+Баланс!N24</f>
        <v>36</v>
      </c>
    </row>
    <row r="11" spans="1:14" s="9" customFormat="1" ht="13.5">
      <c r="A11" s="6" t="s">
        <v>7</v>
      </c>
      <c r="B11" s="16" t="s">
        <v>118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</row>
    <row r="12" spans="1:14" s="15" customFormat="1" ht="13.5">
      <c r="A12" s="13"/>
      <c r="B12" s="14"/>
      <c r="C12" s="91" t="s">
        <v>9</v>
      </c>
      <c r="D12" s="91" t="s">
        <v>10</v>
      </c>
      <c r="E12" s="91" t="s">
        <v>11</v>
      </c>
      <c r="F12" s="91" t="s">
        <v>72</v>
      </c>
      <c r="G12" s="91" t="s">
        <v>73</v>
      </c>
      <c r="H12" s="91" t="s">
        <v>74</v>
      </c>
      <c r="I12" s="91" t="s">
        <v>75</v>
      </c>
      <c r="J12" s="91" t="s">
        <v>76</v>
      </c>
      <c r="K12" s="91" t="s">
        <v>77</v>
      </c>
      <c r="L12" s="91" t="s">
        <v>78</v>
      </c>
      <c r="M12" s="91" t="s">
        <v>79</v>
      </c>
      <c r="N12" s="91" t="s">
        <v>8</v>
      </c>
    </row>
    <row r="13" spans="1:14" s="9" customFormat="1" ht="13.5">
      <c r="A13" s="11" t="s">
        <v>133</v>
      </c>
      <c r="B13" s="16" t="s">
        <v>19</v>
      </c>
      <c r="C13" s="8">
        <f>БДР!B3</f>
        <v>220</v>
      </c>
      <c r="D13" s="8">
        <f>БДР!C3</f>
        <v>220</v>
      </c>
      <c r="E13" s="8">
        <f>БДР!D3</f>
        <v>220</v>
      </c>
      <c r="F13" s="8">
        <f>БДР!E3</f>
        <v>220</v>
      </c>
      <c r="G13" s="8">
        <f>БДР!F3</f>
        <v>220</v>
      </c>
      <c r="H13" s="8">
        <f>БДР!G3</f>
        <v>220</v>
      </c>
      <c r="I13" s="8">
        <f>БДР!H3</f>
        <v>220</v>
      </c>
      <c r="J13" s="8">
        <f>БДР!I3</f>
        <v>220</v>
      </c>
      <c r="K13" s="8">
        <f>БДР!J3</f>
        <v>220</v>
      </c>
      <c r="L13" s="8">
        <f>БДР!K3</f>
        <v>220</v>
      </c>
      <c r="M13" s="8">
        <f>БДР!L3</f>
        <v>220</v>
      </c>
      <c r="N13" s="8">
        <f>БДР!M3</f>
        <v>220</v>
      </c>
    </row>
    <row r="14" spans="1:14" s="9" customFormat="1" ht="27">
      <c r="A14" s="6" t="s">
        <v>134</v>
      </c>
      <c r="B14" s="16" t="s">
        <v>19</v>
      </c>
      <c r="C14" s="8">
        <f>БДР!B6</f>
        <v>180</v>
      </c>
      <c r="D14" s="8">
        <f>БДР!C6</f>
        <v>180</v>
      </c>
      <c r="E14" s="8">
        <f>БДР!D6</f>
        <v>180</v>
      </c>
      <c r="F14" s="8">
        <f>БДР!E6</f>
        <v>180</v>
      </c>
      <c r="G14" s="8">
        <f>БДР!F6</f>
        <v>180</v>
      </c>
      <c r="H14" s="8">
        <f>БДР!G6</f>
        <v>180</v>
      </c>
      <c r="I14" s="8">
        <f>БДР!H6</f>
        <v>180</v>
      </c>
      <c r="J14" s="8">
        <f>БДР!I6</f>
        <v>180</v>
      </c>
      <c r="K14" s="8">
        <f>БДР!J6</f>
        <v>180</v>
      </c>
      <c r="L14" s="8">
        <f>БДР!K6</f>
        <v>180</v>
      </c>
      <c r="M14" s="8">
        <f>БДР!L6</f>
        <v>180</v>
      </c>
      <c r="N14" s="8">
        <f>БДР!M6</f>
        <v>180</v>
      </c>
    </row>
    <row r="15" spans="1:14" s="9" customFormat="1" ht="13.5">
      <c r="A15" s="6" t="s">
        <v>135</v>
      </c>
      <c r="B15" s="16" t="s">
        <v>19</v>
      </c>
      <c r="C15" s="8">
        <f>БДР!B5</f>
        <v>214.94</v>
      </c>
      <c r="D15" s="8">
        <f>БДР!C5</f>
        <v>214.94</v>
      </c>
      <c r="E15" s="8">
        <f>БДР!D5</f>
        <v>214.94</v>
      </c>
      <c r="F15" s="8">
        <f>БДР!E5</f>
        <v>214.94</v>
      </c>
      <c r="G15" s="8">
        <f>БДР!F5</f>
        <v>214.94</v>
      </c>
      <c r="H15" s="8">
        <f>БДР!G5</f>
        <v>214.94</v>
      </c>
      <c r="I15" s="8">
        <f>БДР!H5</f>
        <v>214.94</v>
      </c>
      <c r="J15" s="8">
        <f>БДР!I5</f>
        <v>214.94</v>
      </c>
      <c r="K15" s="8">
        <f>БДР!J5</f>
        <v>217.64</v>
      </c>
      <c r="L15" s="8">
        <f>БДР!K5</f>
        <v>218.09</v>
      </c>
      <c r="M15" s="8">
        <f>БДР!L5</f>
        <v>214.94</v>
      </c>
      <c r="N15" s="8">
        <f>БДР!M5</f>
        <v>214.94</v>
      </c>
    </row>
    <row r="16" spans="1:14" s="9" customFormat="1" ht="7.5" customHeight="1">
      <c r="A16" s="11"/>
      <c r="B16" s="16"/>
      <c r="C16" s="17"/>
      <c r="D16" s="18"/>
      <c r="E16" s="18"/>
      <c r="F16" s="17"/>
      <c r="G16" s="18"/>
      <c r="H16" s="18"/>
      <c r="I16" s="17"/>
      <c r="J16" s="18"/>
      <c r="K16" s="18"/>
      <c r="L16" s="17"/>
      <c r="M16" s="18"/>
      <c r="N16" s="18"/>
    </row>
    <row r="17" spans="1:14" s="15" customFormat="1" ht="13.5">
      <c r="A17" s="19" t="s">
        <v>12</v>
      </c>
      <c r="B17" s="20"/>
      <c r="C17" s="21">
        <v>31</v>
      </c>
      <c r="D17" s="21">
        <v>28</v>
      </c>
      <c r="E17" s="21">
        <v>31</v>
      </c>
      <c r="F17" s="21">
        <v>30</v>
      </c>
      <c r="G17" s="21">
        <v>31</v>
      </c>
      <c r="H17" s="21">
        <v>30</v>
      </c>
      <c r="I17" s="21">
        <v>31</v>
      </c>
      <c r="J17" s="21">
        <v>31</v>
      </c>
      <c r="K17" s="21">
        <v>30</v>
      </c>
      <c r="L17" s="21">
        <v>31</v>
      </c>
      <c r="M17" s="21">
        <v>30</v>
      </c>
      <c r="N17" s="21">
        <v>31</v>
      </c>
    </row>
    <row r="18" spans="1:14" s="9" customFormat="1" ht="6" customHeight="1">
      <c r="A18" s="11"/>
      <c r="B18" s="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23" customFormat="1" ht="15">
      <c r="A19" s="103" t="s">
        <v>13</v>
      </c>
      <c r="B19" s="104"/>
      <c r="C19" s="92" t="s">
        <v>44</v>
      </c>
      <c r="D19" s="92" t="s">
        <v>45</v>
      </c>
      <c r="E19" s="92" t="s">
        <v>46</v>
      </c>
      <c r="F19" s="92" t="s">
        <v>47</v>
      </c>
      <c r="G19" s="92" t="s">
        <v>64</v>
      </c>
      <c r="H19" s="92" t="s">
        <v>65</v>
      </c>
      <c r="I19" s="92" t="s">
        <v>66</v>
      </c>
      <c r="J19" s="92" t="s">
        <v>67</v>
      </c>
      <c r="K19" s="92" t="s">
        <v>68</v>
      </c>
      <c r="L19" s="92" t="s">
        <v>69</v>
      </c>
      <c r="M19" s="92" t="s">
        <v>70</v>
      </c>
      <c r="N19" s="92" t="s">
        <v>71</v>
      </c>
    </row>
    <row r="20" spans="1:14" s="24" customFormat="1" ht="15" customHeight="1">
      <c r="A20" s="101" t="s">
        <v>14</v>
      </c>
      <c r="B20" s="102"/>
      <c r="C20" s="66">
        <f>C4*C$17/(C$13*1.18)</f>
        <v>31</v>
      </c>
      <c r="D20" s="66">
        <f aca="true" t="shared" si="0" ref="D20:N20">D4*D$17/(D$13*1.18)</f>
        <v>28</v>
      </c>
      <c r="E20" s="66">
        <f t="shared" si="0"/>
        <v>31</v>
      </c>
      <c r="F20" s="66">
        <f t="shared" si="0"/>
        <v>30</v>
      </c>
      <c r="G20" s="66">
        <f t="shared" si="0"/>
        <v>31</v>
      </c>
      <c r="H20" s="66">
        <f t="shared" si="0"/>
        <v>30</v>
      </c>
      <c r="I20" s="66">
        <f t="shared" si="0"/>
        <v>31</v>
      </c>
      <c r="J20" s="66">
        <f t="shared" si="0"/>
        <v>31</v>
      </c>
      <c r="K20" s="66">
        <f t="shared" si="0"/>
        <v>30</v>
      </c>
      <c r="L20" s="66">
        <f t="shared" si="0"/>
        <v>31</v>
      </c>
      <c r="M20" s="66">
        <f t="shared" si="0"/>
        <v>30</v>
      </c>
      <c r="N20" s="66">
        <f t="shared" si="0"/>
        <v>31</v>
      </c>
    </row>
    <row r="21" spans="1:14" s="24" customFormat="1" ht="15" customHeight="1">
      <c r="A21" s="101" t="s">
        <v>59</v>
      </c>
      <c r="B21" s="102"/>
      <c r="C21" s="66">
        <f>C3*C17/C13</f>
        <v>0.9018181818181866</v>
      </c>
      <c r="D21" s="66">
        <f aca="true" t="shared" si="1" ref="D21:N21">D3*D17/D13</f>
        <v>0.8145454545454589</v>
      </c>
      <c r="E21" s="66">
        <f t="shared" si="1"/>
        <v>0.9018181818181866</v>
      </c>
      <c r="F21" s="66">
        <f t="shared" si="1"/>
        <v>0.8727272727272773</v>
      </c>
      <c r="G21" s="66">
        <f t="shared" si="1"/>
        <v>0.9018181818181866</v>
      </c>
      <c r="H21" s="66">
        <f t="shared" si="1"/>
        <v>0.8727272727272773</v>
      </c>
      <c r="I21" s="66">
        <f t="shared" si="1"/>
        <v>0.9018181818181866</v>
      </c>
      <c r="J21" s="66">
        <f t="shared" si="1"/>
        <v>5.551818181818186</v>
      </c>
      <c r="K21" s="66">
        <f t="shared" si="1"/>
        <v>0.8727272727272773</v>
      </c>
      <c r="L21" s="66">
        <f t="shared" si="1"/>
        <v>0.6200000000000028</v>
      </c>
      <c r="M21" s="66">
        <f t="shared" si="1"/>
        <v>0.8727272727272755</v>
      </c>
      <c r="N21" s="66">
        <f t="shared" si="1"/>
        <v>0.9018181818181845</v>
      </c>
    </row>
    <row r="22" spans="1:14" s="24" customFormat="1" ht="13.5" customHeight="1">
      <c r="A22" s="101" t="s">
        <v>15</v>
      </c>
      <c r="B22" s="102"/>
      <c r="C22" s="66">
        <f>C8*C$17/C$14</f>
        <v>0</v>
      </c>
      <c r="D22" s="66">
        <f aca="true" t="shared" si="2" ref="D22:N22">D8*D$17/D$14</f>
        <v>0</v>
      </c>
      <c r="E22" s="66">
        <f t="shared" si="2"/>
        <v>0</v>
      </c>
      <c r="F22" s="66">
        <f t="shared" si="2"/>
        <v>0</v>
      </c>
      <c r="G22" s="66">
        <f t="shared" si="2"/>
        <v>0</v>
      </c>
      <c r="H22" s="66">
        <f t="shared" si="2"/>
        <v>0</v>
      </c>
      <c r="I22" s="66">
        <f t="shared" si="2"/>
        <v>0</v>
      </c>
      <c r="J22" s="66">
        <f t="shared" si="2"/>
        <v>0</v>
      </c>
      <c r="K22" s="66">
        <f t="shared" si="2"/>
        <v>0</v>
      </c>
      <c r="L22" s="66">
        <f t="shared" si="2"/>
        <v>0</v>
      </c>
      <c r="M22" s="66">
        <f t="shared" si="2"/>
        <v>0</v>
      </c>
      <c r="N22" s="66">
        <f t="shared" si="2"/>
        <v>0</v>
      </c>
    </row>
    <row r="23" spans="1:14" s="24" customFormat="1" ht="13.5">
      <c r="A23" s="101" t="s">
        <v>2</v>
      </c>
      <c r="B23" s="102"/>
      <c r="C23" s="66">
        <f>C5*C$17/C$14</f>
        <v>31</v>
      </c>
      <c r="D23" s="66">
        <f aca="true" t="shared" si="3" ref="D23:N23">D5*D$17/D$14</f>
        <v>28</v>
      </c>
      <c r="E23" s="66">
        <f t="shared" si="3"/>
        <v>31</v>
      </c>
      <c r="F23" s="66">
        <f t="shared" si="3"/>
        <v>30</v>
      </c>
      <c r="G23" s="66">
        <f t="shared" si="3"/>
        <v>31</v>
      </c>
      <c r="H23" s="66">
        <f t="shared" si="3"/>
        <v>30</v>
      </c>
      <c r="I23" s="66">
        <f t="shared" si="3"/>
        <v>31</v>
      </c>
      <c r="J23" s="66">
        <f t="shared" si="3"/>
        <v>62</v>
      </c>
      <c r="K23" s="66">
        <f t="shared" si="3"/>
        <v>60</v>
      </c>
      <c r="L23" s="66">
        <f t="shared" si="3"/>
        <v>31</v>
      </c>
      <c r="M23" s="66">
        <f t="shared" si="3"/>
        <v>30</v>
      </c>
      <c r="N23" s="66">
        <f t="shared" si="3"/>
        <v>31</v>
      </c>
    </row>
    <row r="24" spans="1:14" s="24" customFormat="1" ht="13.5">
      <c r="A24" s="101" t="s">
        <v>4</v>
      </c>
      <c r="B24" s="102"/>
      <c r="C24" s="66">
        <f>C6*C$17/C$14</f>
        <v>1.7222222222222223</v>
      </c>
      <c r="D24" s="66">
        <f aca="true" t="shared" si="4" ref="D24:N24">D6*D$17/D$14</f>
        <v>1.5555555555555556</v>
      </c>
      <c r="E24" s="66">
        <f t="shared" si="4"/>
        <v>1.7222222222222223</v>
      </c>
      <c r="F24" s="66">
        <f t="shared" si="4"/>
        <v>1.6666666666666667</v>
      </c>
      <c r="G24" s="66">
        <f t="shared" si="4"/>
        <v>1.7222222222222223</v>
      </c>
      <c r="H24" s="66">
        <f t="shared" si="4"/>
        <v>1.6666666666666667</v>
      </c>
      <c r="I24" s="66">
        <f t="shared" si="4"/>
        <v>1.7222222222222223</v>
      </c>
      <c r="J24" s="66">
        <f t="shared" si="4"/>
        <v>1.7222222222222223</v>
      </c>
      <c r="K24" s="66">
        <f t="shared" si="4"/>
        <v>1.6666666666666667</v>
      </c>
      <c r="L24" s="66">
        <f t="shared" si="4"/>
        <v>1.7222222222222223</v>
      </c>
      <c r="M24" s="66">
        <f t="shared" si="4"/>
        <v>1.6666666666666667</v>
      </c>
      <c r="N24" s="66">
        <f t="shared" si="4"/>
        <v>1.7222222222222223</v>
      </c>
    </row>
    <row r="25" spans="1:14" s="24" customFormat="1" ht="13.5">
      <c r="A25" s="101" t="s">
        <v>5</v>
      </c>
      <c r="B25" s="102"/>
      <c r="C25" s="66">
        <f>C7*C$17/C$15</f>
        <v>2.8845259142086164</v>
      </c>
      <c r="D25" s="66">
        <f aca="true" t="shared" si="5" ref="D25:N25">D7*D$17/D$15</f>
        <v>2.6053782450916536</v>
      </c>
      <c r="E25" s="66">
        <f t="shared" si="5"/>
        <v>2.8845259142086164</v>
      </c>
      <c r="F25" s="66">
        <f t="shared" si="5"/>
        <v>2.791476691169629</v>
      </c>
      <c r="G25" s="66">
        <f t="shared" si="5"/>
        <v>2.8845259142086164</v>
      </c>
      <c r="H25" s="66">
        <f t="shared" si="5"/>
        <v>2.791476691169629</v>
      </c>
      <c r="I25" s="66">
        <f t="shared" si="5"/>
        <v>2.8845259142086164</v>
      </c>
      <c r="J25" s="66">
        <f t="shared" si="5"/>
        <v>2.8845259142086164</v>
      </c>
      <c r="K25" s="66">
        <f t="shared" si="5"/>
        <v>2.7568461679838268</v>
      </c>
      <c r="L25" s="66">
        <f t="shared" si="5"/>
        <v>2.8428630381952407</v>
      </c>
      <c r="M25" s="66">
        <f t="shared" si="5"/>
        <v>2.791476691169629</v>
      </c>
      <c r="N25" s="66">
        <f t="shared" si="5"/>
        <v>2.8845259142086164</v>
      </c>
    </row>
    <row r="26" spans="1:14" s="24" customFormat="1" ht="13.5">
      <c r="A26" s="101" t="s">
        <v>16</v>
      </c>
      <c r="B26" s="102"/>
      <c r="C26" s="66">
        <f>-C11*C$17/C$13</f>
        <v>0</v>
      </c>
      <c r="D26" s="66">
        <f aca="true" t="shared" si="6" ref="D26:N26">-D11*D$17/D$13</f>
        <v>0</v>
      </c>
      <c r="E26" s="66">
        <f t="shared" si="6"/>
        <v>0</v>
      </c>
      <c r="F26" s="66">
        <f t="shared" si="6"/>
        <v>0</v>
      </c>
      <c r="G26" s="66">
        <f t="shared" si="6"/>
        <v>0</v>
      </c>
      <c r="H26" s="66">
        <f t="shared" si="6"/>
        <v>0</v>
      </c>
      <c r="I26" s="66">
        <f t="shared" si="6"/>
        <v>0</v>
      </c>
      <c r="J26" s="66">
        <f t="shared" si="6"/>
        <v>0</v>
      </c>
      <c r="K26" s="66">
        <f t="shared" si="6"/>
        <v>0</v>
      </c>
      <c r="L26" s="66">
        <f t="shared" si="6"/>
        <v>0</v>
      </c>
      <c r="M26" s="66">
        <f t="shared" si="6"/>
        <v>0</v>
      </c>
      <c r="N26" s="66">
        <f t="shared" si="6"/>
        <v>0</v>
      </c>
    </row>
    <row r="27" spans="1:14" s="24" customFormat="1" ht="13.5">
      <c r="A27" s="83"/>
      <c r="B27" s="84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s="24" customFormat="1" ht="13.5" customHeight="1">
      <c r="A28" s="101" t="s">
        <v>17</v>
      </c>
      <c r="B28" s="102"/>
      <c r="C28" s="66">
        <f>C9*C$17/(C$14*1.18)</f>
        <v>30.941619585687384</v>
      </c>
      <c r="D28" s="66">
        <f aca="true" t="shared" si="7" ref="D28:N28">D9*D$17/(D$14*1.18)</f>
        <v>27.94726930320151</v>
      </c>
      <c r="E28" s="66">
        <f t="shared" si="7"/>
        <v>30.941619585687384</v>
      </c>
      <c r="F28" s="66">
        <f t="shared" si="7"/>
        <v>59.88700564971752</v>
      </c>
      <c r="G28" s="66">
        <f t="shared" si="7"/>
        <v>61.88323917137477</v>
      </c>
      <c r="H28" s="66">
        <f t="shared" si="7"/>
        <v>29.94350282485876</v>
      </c>
      <c r="I28" s="66">
        <f t="shared" si="7"/>
        <v>30.941619585687384</v>
      </c>
      <c r="J28" s="66">
        <f t="shared" si="7"/>
        <v>62.02919020715632</v>
      </c>
      <c r="K28" s="66">
        <f t="shared" si="7"/>
        <v>29.94350282485876</v>
      </c>
      <c r="L28" s="66">
        <f t="shared" si="7"/>
        <v>0</v>
      </c>
      <c r="M28" s="66">
        <f t="shared" si="7"/>
        <v>29.94350282485876</v>
      </c>
      <c r="N28" s="66">
        <f t="shared" si="7"/>
        <v>30.941619585687384</v>
      </c>
    </row>
    <row r="29" spans="1:14" s="24" customFormat="1" ht="13.5">
      <c r="A29" s="101" t="s">
        <v>117</v>
      </c>
      <c r="B29" s="102"/>
      <c r="C29" s="66">
        <f>C10*C$17/(C$15*1.18)</f>
        <v>4.400124275911449</v>
      </c>
      <c r="D29" s="66">
        <f aca="true" t="shared" si="8" ref="D29:N29">D10*D$17/(D$15*1.18)</f>
        <v>3.9743057975974376</v>
      </c>
      <c r="E29" s="66">
        <f t="shared" si="8"/>
        <v>4.400124275911449</v>
      </c>
      <c r="F29" s="66">
        <f t="shared" si="8"/>
        <v>4.258184783140112</v>
      </c>
      <c r="G29" s="66">
        <f t="shared" si="8"/>
        <v>4.400124275911449</v>
      </c>
      <c r="H29" s="66">
        <f t="shared" si="8"/>
        <v>4.258184783140112</v>
      </c>
      <c r="I29" s="66">
        <f t="shared" si="8"/>
        <v>4.400124275911449</v>
      </c>
      <c r="J29" s="66">
        <f t="shared" si="8"/>
        <v>4.400124275911449</v>
      </c>
      <c r="K29" s="66">
        <f t="shared" si="8"/>
        <v>4.205358561331262</v>
      </c>
      <c r="L29" s="66">
        <f t="shared" si="8"/>
        <v>4.336570736230028</v>
      </c>
      <c r="M29" s="66">
        <f t="shared" si="8"/>
        <v>4.258184783140112</v>
      </c>
      <c r="N29" s="66">
        <f t="shared" si="8"/>
        <v>4.400124275911449</v>
      </c>
    </row>
    <row r="30" spans="1:14" s="24" customFormat="1" ht="13.5">
      <c r="A30" s="108"/>
      <c r="B30" s="109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24" customFormat="1" ht="13.5">
      <c r="A31" s="106" t="s">
        <v>0</v>
      </c>
      <c r="B31" s="107"/>
      <c r="C31" s="65">
        <f>SUM(C20:C26)</f>
        <v>67.50856631824902</v>
      </c>
      <c r="D31" s="65">
        <f>SUM(D20:D26)</f>
        <v>60.97547925519267</v>
      </c>
      <c r="E31" s="65">
        <f>SUM(E20:E26)</f>
        <v>67.50856631824902</v>
      </c>
      <c r="F31" s="65">
        <f aca="true" t="shared" si="9" ref="F31:N31">SUM(F20:F26)</f>
        <v>65.33087063056357</v>
      </c>
      <c r="G31" s="65">
        <f t="shared" si="9"/>
        <v>67.50856631824902</v>
      </c>
      <c r="H31" s="65">
        <f t="shared" si="9"/>
        <v>65.33087063056357</v>
      </c>
      <c r="I31" s="65">
        <f t="shared" si="9"/>
        <v>67.50856631824902</v>
      </c>
      <c r="J31" s="65">
        <f t="shared" si="9"/>
        <v>103.15856631824903</v>
      </c>
      <c r="K31" s="65">
        <f t="shared" si="9"/>
        <v>95.29624010737777</v>
      </c>
      <c r="L31" s="65">
        <f t="shared" si="9"/>
        <v>67.18508526041748</v>
      </c>
      <c r="M31" s="65">
        <f t="shared" si="9"/>
        <v>65.33087063056357</v>
      </c>
      <c r="N31" s="65">
        <f t="shared" si="9"/>
        <v>67.50856631824902</v>
      </c>
    </row>
    <row r="32" spans="1:14" s="24" customFormat="1" ht="13.5">
      <c r="A32" s="106" t="s">
        <v>54</v>
      </c>
      <c r="B32" s="107"/>
      <c r="C32" s="65">
        <f>C31-C28-C29</f>
        <v>32.16682245665019</v>
      </c>
      <c r="D32" s="65">
        <f aca="true" t="shared" si="10" ref="D32:N32">D31-D28-D29</f>
        <v>29.05390415439372</v>
      </c>
      <c r="E32" s="65">
        <f t="shared" si="10"/>
        <v>32.16682245665019</v>
      </c>
      <c r="F32" s="65">
        <f t="shared" si="10"/>
        <v>1.1856801977059321</v>
      </c>
      <c r="G32" s="65">
        <f t="shared" si="10"/>
        <v>1.2252028709628062</v>
      </c>
      <c r="H32" s="65">
        <f t="shared" si="10"/>
        <v>31.129183022564693</v>
      </c>
      <c r="I32" s="65">
        <f t="shared" si="10"/>
        <v>32.16682245665019</v>
      </c>
      <c r="J32" s="65">
        <f t="shared" si="10"/>
        <v>36.72925183518126</v>
      </c>
      <c r="K32" s="65">
        <f t="shared" si="10"/>
        <v>61.14737872118774</v>
      </c>
      <c r="L32" s="65">
        <f t="shared" si="10"/>
        <v>62.84851452418745</v>
      </c>
      <c r="M32" s="65">
        <f t="shared" si="10"/>
        <v>31.129183022564693</v>
      </c>
      <c r="N32" s="65">
        <f t="shared" si="10"/>
        <v>32.16682245665019</v>
      </c>
    </row>
    <row r="33" spans="1:14" s="24" customFormat="1" ht="3" customHeight="1">
      <c r="A33" s="71"/>
      <c r="B33" s="7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s="24" customFormat="1" ht="13.5">
      <c r="A34" s="106" t="s">
        <v>55</v>
      </c>
      <c r="B34" s="107"/>
      <c r="C34" s="65">
        <f>C15/'Опер цикл'!C17</f>
        <v>6.933548387096774</v>
      </c>
      <c r="D34" s="65">
        <f>D15/'Опер цикл'!D17</f>
        <v>7.676428571428572</v>
      </c>
      <c r="E34" s="65">
        <f>E15/'Опер цикл'!E17</f>
        <v>6.933548387096774</v>
      </c>
      <c r="F34" s="65">
        <f>F15/'Опер цикл'!F17</f>
        <v>7.164666666666666</v>
      </c>
      <c r="G34" s="65">
        <f>G15/'Опер цикл'!G17</f>
        <v>6.933548387096774</v>
      </c>
      <c r="H34" s="65">
        <f>H15/'Опер цикл'!H17</f>
        <v>7.164666666666666</v>
      </c>
      <c r="I34" s="65">
        <f>I15/'Опер цикл'!I17</f>
        <v>6.933548387096774</v>
      </c>
      <c r="J34" s="65">
        <f>J15/'Опер цикл'!J17</f>
        <v>6.933548387096774</v>
      </c>
      <c r="K34" s="65">
        <f>K15/'Опер цикл'!K17</f>
        <v>7.254666666666666</v>
      </c>
      <c r="L34" s="65">
        <f>L15/'Опер цикл'!L17</f>
        <v>7.035161290322581</v>
      </c>
      <c r="M34" s="65">
        <f>M15/'Опер цикл'!M17</f>
        <v>7.164666666666666</v>
      </c>
      <c r="N34" s="65">
        <f>N15/'Опер цикл'!N17</f>
        <v>6.933548387096774</v>
      </c>
    </row>
    <row r="35" spans="1:14" s="24" customFormat="1" ht="5.25" customHeight="1">
      <c r="A35" s="71"/>
      <c r="B35" s="7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s="24" customFormat="1" ht="13.5">
      <c r="A36" s="106" t="s">
        <v>137</v>
      </c>
      <c r="B36" s="107"/>
      <c r="C36" s="65">
        <f>C31*C34</f>
        <v>468.07391111111116</v>
      </c>
      <c r="D36" s="65">
        <f aca="true" t="shared" si="11" ref="D36:N36">D31*D34</f>
        <v>468.07391111111116</v>
      </c>
      <c r="E36" s="65">
        <f t="shared" si="11"/>
        <v>468.07391111111116</v>
      </c>
      <c r="F36" s="65">
        <f t="shared" si="11"/>
        <v>468.0739111111111</v>
      </c>
      <c r="G36" s="65">
        <f t="shared" si="11"/>
        <v>468.07391111111116</v>
      </c>
      <c r="H36" s="65">
        <f t="shared" si="11"/>
        <v>468.0739111111111</v>
      </c>
      <c r="I36" s="65">
        <f t="shared" si="11"/>
        <v>468.07391111111116</v>
      </c>
      <c r="J36" s="65">
        <f t="shared" si="11"/>
        <v>715.2549111111111</v>
      </c>
      <c r="K36" s="65">
        <f t="shared" si="11"/>
        <v>691.3424565656566</v>
      </c>
      <c r="L36" s="65">
        <f t="shared" si="11"/>
        <v>472.6579111111112</v>
      </c>
      <c r="M36" s="65">
        <f t="shared" si="11"/>
        <v>468.0739111111111</v>
      </c>
      <c r="N36" s="65">
        <f t="shared" si="11"/>
        <v>468.07391111111116</v>
      </c>
    </row>
    <row r="37" spans="1:14" s="24" customFormat="1" ht="13.5">
      <c r="A37" s="106" t="s">
        <v>119</v>
      </c>
      <c r="B37" s="107"/>
      <c r="C37" s="65">
        <f>C9+C10</f>
        <v>248</v>
      </c>
      <c r="D37" s="65">
        <f aca="true" t="shared" si="12" ref="D37:N37">D9+D10</f>
        <v>248</v>
      </c>
      <c r="E37" s="65">
        <f t="shared" si="12"/>
        <v>248</v>
      </c>
      <c r="F37" s="65">
        <f t="shared" si="12"/>
        <v>460</v>
      </c>
      <c r="G37" s="65">
        <f t="shared" si="12"/>
        <v>460</v>
      </c>
      <c r="H37" s="65">
        <f t="shared" si="12"/>
        <v>248</v>
      </c>
      <c r="I37" s="65">
        <f t="shared" si="12"/>
        <v>248</v>
      </c>
      <c r="J37" s="65">
        <f t="shared" si="12"/>
        <v>461</v>
      </c>
      <c r="K37" s="65">
        <f t="shared" si="12"/>
        <v>248</v>
      </c>
      <c r="L37" s="65">
        <f t="shared" si="12"/>
        <v>36</v>
      </c>
      <c r="M37" s="65">
        <f t="shared" si="12"/>
        <v>248</v>
      </c>
      <c r="N37" s="65">
        <f t="shared" si="12"/>
        <v>248</v>
      </c>
    </row>
    <row r="38" spans="1:14" s="24" customFormat="1" ht="13.5">
      <c r="A38" s="106" t="s">
        <v>120</v>
      </c>
      <c r="B38" s="107"/>
      <c r="C38" s="65">
        <f>C32*C34</f>
        <v>223.0302199623352</v>
      </c>
      <c r="D38" s="65">
        <f>D32*D34</f>
        <v>223.03021996233522</v>
      </c>
      <c r="E38" s="65">
        <f>E32*E34</f>
        <v>223.0302199623352</v>
      </c>
      <c r="F38" s="65">
        <f aca="true" t="shared" si="13" ref="F38:N38">F32*F34</f>
        <v>8.495003389830435</v>
      </c>
      <c r="G38" s="65">
        <f t="shared" si="13"/>
        <v>8.495003389830503</v>
      </c>
      <c r="H38" s="65">
        <f t="shared" si="13"/>
        <v>223.03021996233517</v>
      </c>
      <c r="I38" s="65">
        <f t="shared" si="13"/>
        <v>223.0302199623352</v>
      </c>
      <c r="J38" s="65">
        <f t="shared" si="13"/>
        <v>254.66404482109226</v>
      </c>
      <c r="K38" s="65">
        <f t="shared" si="13"/>
        <v>443.6038501626433</v>
      </c>
      <c r="L38" s="65">
        <f t="shared" si="13"/>
        <v>442.14943653484005</v>
      </c>
      <c r="M38" s="65">
        <f t="shared" si="13"/>
        <v>223.03021996233517</v>
      </c>
      <c r="N38" s="65">
        <f t="shared" si="13"/>
        <v>223.0302199623352</v>
      </c>
    </row>
    <row r="39" spans="1:14" ht="5.25" customHeight="1">
      <c r="A39" s="73"/>
      <c r="B39" s="7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24" customFormat="1" ht="13.5">
      <c r="A40" s="106" t="s">
        <v>60</v>
      </c>
      <c r="B40" s="107"/>
      <c r="C40" s="65">
        <f>Баланс!C18+Баланс!C20-Баланс!C5</f>
        <v>228</v>
      </c>
      <c r="D40" s="65">
        <f>Баланс!D18+Баланс!D20-Баланс!D5</f>
        <v>228</v>
      </c>
      <c r="E40" s="65">
        <f>Баланс!E18+Баланс!E20-Баланс!E5</f>
        <v>228</v>
      </c>
      <c r="F40" s="65">
        <f>Баланс!F18+Баланс!F20-Баланс!F5</f>
        <v>16</v>
      </c>
      <c r="G40" s="65">
        <f>Баланс!G18+Баланс!G20-Баланс!G5</f>
        <v>16</v>
      </c>
      <c r="H40" s="65">
        <f>Баланс!H18+Баланс!H20-Баланс!H5</f>
        <v>228</v>
      </c>
      <c r="I40" s="65">
        <f>Баланс!I18+Баланс!I20-Баланс!I5</f>
        <v>228</v>
      </c>
      <c r="J40" s="65">
        <f>Баланс!J18+Баланс!J20-Баланс!J5</f>
        <v>228</v>
      </c>
      <c r="K40" s="65">
        <f>Баланс!K18+Баланс!K20-Баланс!K5</f>
        <v>228.00000000000003</v>
      </c>
      <c r="L40" s="65">
        <f>Баланс!L18+Баланс!L20-Баланс!L5</f>
        <v>228</v>
      </c>
      <c r="M40" s="65">
        <f>Баланс!M18+Баланс!M20-Баланс!M5</f>
        <v>228</v>
      </c>
      <c r="N40" s="65">
        <f>Баланс!N18+Баланс!N20-Баланс!N5</f>
        <v>228</v>
      </c>
    </row>
    <row r="41" spans="1:14" s="24" customFormat="1" ht="13.5">
      <c r="A41" s="110" t="s">
        <v>61</v>
      </c>
      <c r="B41" s="111"/>
      <c r="C41" s="65">
        <f>Баланс!C17-Баланс!$B$17</f>
        <v>4.048000000000002</v>
      </c>
      <c r="D41" s="65">
        <f>Баланс!D17-Баланс!$B$17</f>
        <v>8.096000000000004</v>
      </c>
      <c r="E41" s="65">
        <f>Баланс!E17-Баланс!$B$17</f>
        <v>12.144000000000005</v>
      </c>
      <c r="F41" s="65">
        <f>Баланс!F17-Баланс!$B$17</f>
        <v>16.192000000000007</v>
      </c>
      <c r="G41" s="65">
        <f>Баланс!G17-Баланс!$B$17</f>
        <v>20.24000000000001</v>
      </c>
      <c r="H41" s="65">
        <f>Баланс!H17-Баланс!$B$17</f>
        <v>24.28800000000001</v>
      </c>
      <c r="I41" s="65">
        <f>Баланс!I17-Баланс!$B$17</f>
        <v>28.336000000000013</v>
      </c>
      <c r="J41" s="65">
        <f>Баланс!J17-Баланс!$B$17</f>
        <v>32.384000000000015</v>
      </c>
      <c r="K41" s="65">
        <f>Баланс!K17-Баланс!$B$17</f>
        <v>34.27200000000002</v>
      </c>
      <c r="L41" s="65">
        <f>Баланс!L17-Баланс!$B$17</f>
        <v>35.80000000000001</v>
      </c>
      <c r="M41" s="65">
        <f>Баланс!M17-Баланс!$B$17</f>
        <v>39.84800000000001</v>
      </c>
      <c r="N41" s="65">
        <f>Баланс!N17-Баланс!$B$17</f>
        <v>43.896000000000015</v>
      </c>
    </row>
    <row r="42" spans="1:14" ht="13.5">
      <c r="A42" s="110" t="s">
        <v>62</v>
      </c>
      <c r="B42" s="111"/>
      <c r="C42" s="65">
        <f>БДР!B9</f>
        <v>5</v>
      </c>
      <c r="D42" s="65">
        <f>SUM(БДР!$B$9:C9)</f>
        <v>10</v>
      </c>
      <c r="E42" s="65">
        <f>SUM(БДР!$B$9:D9)</f>
        <v>15</v>
      </c>
      <c r="F42" s="65">
        <f>SUM(БДР!$B$9:E9)</f>
        <v>20</v>
      </c>
      <c r="G42" s="65">
        <f>SUM(БДР!$B$9:F9)</f>
        <v>25</v>
      </c>
      <c r="H42" s="65">
        <f>SUM(БДР!$B$9:G9)</f>
        <v>30</v>
      </c>
      <c r="I42" s="65">
        <f>SUM(БДР!$B$9:H9)</f>
        <v>35</v>
      </c>
      <c r="J42" s="65">
        <f>SUM(БДР!$B$9:I9)</f>
        <v>40</v>
      </c>
      <c r="K42" s="65">
        <f>SUM(БДР!$B$9:J9)</f>
        <v>45</v>
      </c>
      <c r="L42" s="65">
        <f>SUM(БДР!$B$9:K9)</f>
        <v>50</v>
      </c>
      <c r="M42" s="65">
        <f>SUM(БДР!$B$9:L9)</f>
        <v>55</v>
      </c>
      <c r="N42" s="65">
        <f>SUM(БДР!$B$9:M9)</f>
        <v>60</v>
      </c>
    </row>
    <row r="43" spans="1:14" ht="30" customHeight="1">
      <c r="A43" s="106" t="s">
        <v>63</v>
      </c>
      <c r="B43" s="107"/>
      <c r="C43" s="65">
        <f>C41+C42</f>
        <v>9.048000000000002</v>
      </c>
      <c r="D43" s="65">
        <f aca="true" t="shared" si="14" ref="D43:N43">D41+D42</f>
        <v>18.096000000000004</v>
      </c>
      <c r="E43" s="65">
        <f t="shared" si="14"/>
        <v>27.144000000000005</v>
      </c>
      <c r="F43" s="65">
        <f t="shared" si="14"/>
        <v>36.19200000000001</v>
      </c>
      <c r="G43" s="65">
        <f t="shared" si="14"/>
        <v>45.24000000000001</v>
      </c>
      <c r="H43" s="65">
        <f t="shared" si="14"/>
        <v>54.28800000000001</v>
      </c>
      <c r="I43" s="65">
        <f t="shared" si="14"/>
        <v>63.33600000000001</v>
      </c>
      <c r="J43" s="65">
        <f t="shared" si="14"/>
        <v>72.38400000000001</v>
      </c>
      <c r="K43" s="65">
        <f t="shared" si="14"/>
        <v>79.27200000000002</v>
      </c>
      <c r="L43" s="65">
        <f t="shared" si="14"/>
        <v>85.80000000000001</v>
      </c>
      <c r="M43" s="65">
        <f t="shared" si="14"/>
        <v>94.84800000000001</v>
      </c>
      <c r="N43" s="65">
        <f t="shared" si="14"/>
        <v>103.89600000000002</v>
      </c>
    </row>
    <row r="44" spans="1:14" s="24" customFormat="1" ht="13.5">
      <c r="A44" s="106" t="s">
        <v>136</v>
      </c>
      <c r="B44" s="107"/>
      <c r="C44" s="65">
        <f>IF((C38&gt;C40),C38-C40,0)</f>
        <v>0</v>
      </c>
      <c r="D44" s="65">
        <f aca="true" t="shared" si="15" ref="D44:N44">IF((D38&gt;D40),D38-D40,0)</f>
        <v>0</v>
      </c>
      <c r="E44" s="65">
        <f t="shared" si="15"/>
        <v>0</v>
      </c>
      <c r="F44" s="65">
        <f t="shared" si="15"/>
        <v>0</v>
      </c>
      <c r="G44" s="65">
        <f t="shared" si="15"/>
        <v>0</v>
      </c>
      <c r="H44" s="65">
        <f t="shared" si="15"/>
        <v>0</v>
      </c>
      <c r="I44" s="65">
        <f t="shared" si="15"/>
        <v>0</v>
      </c>
      <c r="J44" s="65">
        <f t="shared" si="15"/>
        <v>26.66404482109226</v>
      </c>
      <c r="K44" s="65">
        <f t="shared" si="15"/>
        <v>215.60385016264328</v>
      </c>
      <c r="L44" s="65">
        <f t="shared" si="15"/>
        <v>214.14943653484005</v>
      </c>
      <c r="M44" s="65">
        <f t="shared" si="15"/>
        <v>0</v>
      </c>
      <c r="N44" s="65">
        <f t="shared" si="15"/>
        <v>0</v>
      </c>
    </row>
    <row r="45" spans="1:14" ht="12.75">
      <c r="A45" s="24"/>
      <c r="B45" s="2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26.25" customHeight="1">
      <c r="A46" s="105" t="s">
        <v>132</v>
      </c>
      <c r="B46" s="105"/>
      <c r="C46" s="89">
        <f>ROUND(C36/(C37+C44),2)</f>
        <v>1.89</v>
      </c>
      <c r="D46" s="89">
        <f aca="true" t="shared" si="16" ref="D46:N46">ROUND(D36/(D37+D44),2)</f>
        <v>1.89</v>
      </c>
      <c r="E46" s="89">
        <f t="shared" si="16"/>
        <v>1.89</v>
      </c>
      <c r="F46" s="89">
        <f t="shared" si="16"/>
        <v>1.02</v>
      </c>
      <c r="G46" s="89">
        <f t="shared" si="16"/>
        <v>1.02</v>
      </c>
      <c r="H46" s="89">
        <f t="shared" si="16"/>
        <v>1.89</v>
      </c>
      <c r="I46" s="89">
        <f t="shared" si="16"/>
        <v>1.89</v>
      </c>
      <c r="J46" s="89">
        <f t="shared" si="16"/>
        <v>1.47</v>
      </c>
      <c r="K46" s="89">
        <f t="shared" si="16"/>
        <v>1.49</v>
      </c>
      <c r="L46" s="89">
        <f t="shared" si="16"/>
        <v>1.89</v>
      </c>
      <c r="M46" s="89">
        <f t="shared" si="16"/>
        <v>1.89</v>
      </c>
      <c r="N46" s="89">
        <f t="shared" si="16"/>
        <v>1.89</v>
      </c>
    </row>
  </sheetData>
  <sheetProtection/>
  <mergeCells count="23">
    <mergeCell ref="A34:B34"/>
    <mergeCell ref="A36:B36"/>
    <mergeCell ref="A37:B37"/>
    <mergeCell ref="A24:B24"/>
    <mergeCell ref="A40:B40"/>
    <mergeCell ref="A25:B25"/>
    <mergeCell ref="A29:B29"/>
    <mergeCell ref="A44:B44"/>
    <mergeCell ref="A41:B41"/>
    <mergeCell ref="A42:B42"/>
    <mergeCell ref="A43:B43"/>
    <mergeCell ref="A32:B32"/>
    <mergeCell ref="A38:B38"/>
    <mergeCell ref="A21:B21"/>
    <mergeCell ref="A22:B22"/>
    <mergeCell ref="A23:B23"/>
    <mergeCell ref="A19:B19"/>
    <mergeCell ref="A20:B20"/>
    <mergeCell ref="A46:B46"/>
    <mergeCell ref="A31:B31"/>
    <mergeCell ref="A26:B26"/>
    <mergeCell ref="A28:B28"/>
    <mergeCell ref="A30:B30"/>
  </mergeCells>
  <printOptions/>
  <pageMargins left="0.25" right="0.17" top="0.28" bottom="1" header="0.5" footer="0.5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B2" sqref="B2:F15"/>
    </sheetView>
  </sheetViews>
  <sheetFormatPr defaultColWidth="9.00390625" defaultRowHeight="12.75"/>
  <cols>
    <col min="1" max="1" width="2.625" style="0" customWidth="1"/>
    <col min="3" max="3" width="44.875" style="0" customWidth="1"/>
    <col min="4" max="4" width="8.375" style="0" customWidth="1"/>
    <col min="5" max="5" width="10.625" style="0" customWidth="1"/>
    <col min="6" max="6" width="45.50390625" style="0" customWidth="1"/>
  </cols>
  <sheetData>
    <row r="1" spans="1:7" ht="12.75">
      <c r="A1" s="24"/>
      <c r="B1" s="24"/>
      <c r="C1" s="24"/>
      <c r="D1" s="24"/>
      <c r="E1" s="24"/>
      <c r="F1" s="24"/>
      <c r="G1" s="24"/>
    </row>
    <row r="2" spans="1:7" ht="24.75" customHeight="1">
      <c r="A2" s="24"/>
      <c r="B2" s="74" t="s">
        <v>124</v>
      </c>
      <c r="C2" s="74"/>
      <c r="D2" s="24"/>
      <c r="E2" s="24"/>
      <c r="F2" s="100" t="s">
        <v>141</v>
      </c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26.25">
      <c r="A4" s="24"/>
      <c r="B4" s="75" t="s">
        <v>130</v>
      </c>
      <c r="C4" s="24"/>
      <c r="D4" s="24"/>
      <c r="E4" s="24"/>
      <c r="F4" s="24"/>
      <c r="G4" s="24"/>
    </row>
    <row r="5" spans="1:7" s="68" customFormat="1" ht="13.5" thickBot="1">
      <c r="A5" s="82"/>
      <c r="B5" s="76">
        <f>SUM(C5:F5)</f>
        <v>67.50856631824902</v>
      </c>
      <c r="C5" s="77">
        <f>'Опер цикл'!C23</f>
        <v>31</v>
      </c>
      <c r="D5" s="77">
        <f>'Опер цикл'!C24</f>
        <v>1.7222222222222223</v>
      </c>
      <c r="E5" s="77">
        <f>'Опер цикл'!C25</f>
        <v>2.8845259142086164</v>
      </c>
      <c r="F5" s="77">
        <f>'Опер цикл'!C20+'Опер цикл'!C21</f>
        <v>31.901818181818186</v>
      </c>
      <c r="G5" s="82"/>
    </row>
    <row r="6" spans="1:7" ht="110.25" customHeight="1" thickTop="1">
      <c r="A6" s="24"/>
      <c r="B6" s="24"/>
      <c r="C6" s="78" t="s">
        <v>131</v>
      </c>
      <c r="D6" s="78" t="s">
        <v>128</v>
      </c>
      <c r="E6" s="78" t="s">
        <v>125</v>
      </c>
      <c r="F6" s="78" t="s">
        <v>129</v>
      </c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40.5" customHeight="1">
      <c r="A8" s="24"/>
      <c r="B8" s="24"/>
      <c r="C8" s="113"/>
      <c r="D8" s="113"/>
      <c r="E8" s="113"/>
      <c r="F8" s="113"/>
      <c r="G8" s="24"/>
    </row>
    <row r="9" spans="1:7" ht="12.75">
      <c r="A9" s="24"/>
      <c r="B9" s="24"/>
      <c r="C9" s="24"/>
      <c r="D9" s="24"/>
      <c r="E9" s="24"/>
      <c r="F9" s="24"/>
      <c r="G9" s="24"/>
    </row>
    <row r="10" spans="1:7" ht="12.75">
      <c r="A10" s="24"/>
      <c r="B10" s="24"/>
      <c r="C10" s="24"/>
      <c r="D10" s="24"/>
      <c r="E10" s="24"/>
      <c r="F10" s="24"/>
      <c r="G10" s="24"/>
    </row>
    <row r="11" spans="1:7" ht="12.75">
      <c r="A11" s="24"/>
      <c r="B11" s="24"/>
      <c r="C11" s="24"/>
      <c r="D11" s="24"/>
      <c r="E11" s="24"/>
      <c r="F11" s="24"/>
      <c r="G11" s="24"/>
    </row>
    <row r="12" spans="1:7" ht="12.75">
      <c r="A12" s="24"/>
      <c r="B12" s="24"/>
      <c r="C12" s="24"/>
      <c r="D12" s="24"/>
      <c r="E12" s="24"/>
      <c r="F12" s="24"/>
      <c r="G12" s="24"/>
    </row>
    <row r="13" spans="1:7" ht="13.5">
      <c r="A13" s="24"/>
      <c r="B13" s="24"/>
      <c r="C13" s="24" t="s">
        <v>126</v>
      </c>
      <c r="D13" s="79">
        <f>B5</f>
        <v>67.50856631824902</v>
      </c>
      <c r="E13" s="24"/>
      <c r="F13" s="24"/>
      <c r="G13" s="24"/>
    </row>
    <row r="14" spans="1:7" ht="13.5">
      <c r="A14" s="24"/>
      <c r="B14" s="24"/>
      <c r="C14" s="24" t="s">
        <v>127</v>
      </c>
      <c r="D14" s="79">
        <v>-35.4</v>
      </c>
      <c r="E14" s="24"/>
      <c r="F14" s="24"/>
      <c r="G14" s="24"/>
    </row>
    <row r="15" spans="1:7" ht="13.5">
      <c r="A15" s="24"/>
      <c r="B15" s="24"/>
      <c r="C15" s="80" t="s">
        <v>54</v>
      </c>
      <c r="D15" s="81">
        <f>D13+D14</f>
        <v>32.108566318249025</v>
      </c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="69" customFormat="1" ht="12.75"/>
    <row r="18" s="69" customFormat="1" ht="12.75"/>
    <row r="19" spans="5:6" s="69" customFormat="1" ht="12.75">
      <c r="E19" s="112"/>
      <c r="F19" s="112"/>
    </row>
    <row r="20" spans="5:6" s="69" customFormat="1" ht="12.75">
      <c r="E20" s="70"/>
      <c r="F20" s="70"/>
    </row>
    <row r="21" s="69" customFormat="1" ht="18" customHeight="1">
      <c r="F21" s="70"/>
    </row>
    <row r="22" s="69" customFormat="1" ht="17.25" customHeight="1"/>
    <row r="23" ht="9.75" customHeight="1"/>
  </sheetData>
  <sheetProtection/>
  <mergeCells count="2">
    <mergeCell ref="E19:F19"/>
    <mergeCell ref="C8:F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Леднев Александр</dc:creator>
  <cp:keywords/>
  <dc:description/>
  <cp:lastModifiedBy>Александр Леднев</cp:lastModifiedBy>
  <cp:lastPrinted>2011-01-05T15:31:32Z</cp:lastPrinted>
  <dcterms:created xsi:type="dcterms:W3CDTF">2009-04-13T13:12:05Z</dcterms:created>
  <dcterms:modified xsi:type="dcterms:W3CDTF">2011-01-10T08:36:56Z</dcterms:modified>
  <cp:category/>
  <cp:version/>
  <cp:contentType/>
  <cp:contentStatus/>
</cp:coreProperties>
</file>